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hidePivotFieldList="1" defaultThemeVersion="166925"/>
  <xr:revisionPtr revIDLastSave="0" documentId="13_ncr:1_{01535A7D-EB08-4B11-8987-2AAA13052F29}" xr6:coauthVersionLast="47" xr6:coauthVersionMax="47" xr10:uidLastSave="{00000000-0000-0000-0000-000000000000}"/>
  <bookViews>
    <workbookView xWindow="-110" yWindow="-110" windowWidth="19420" windowHeight="11620" tabRatio="817" firstSheet="1" activeTab="1" xr2:uid="{00000000-000D-0000-FFFF-FFFF00000000}"/>
  </bookViews>
  <sheets>
    <sheet name="Overview (Example)" sheetId="1" r:id="rId1"/>
    <sheet name="Summary" sheetId="2" r:id="rId2"/>
    <sheet name="Summary per year" sheetId="17" r:id="rId3"/>
    <sheet name="Reference emissions BATT" sheetId="25" r:id="rId4"/>
    <sheet name="Project emissions BATT" sheetId="4" r:id="rId5"/>
    <sheet name="Conversion factors BATT" sheetId="5" r:id="rId6"/>
    <sheet name="Assumptions" sheetId="8" r:id="rId7"/>
    <sheet name="History of changes (Examples)" sheetId="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0" localSheetId="3">#REF!</definedName>
    <definedName name="\0">#REF!</definedName>
    <definedName name="\B1" localSheetId="3">#REF!</definedName>
    <definedName name="\B1">#REF!</definedName>
    <definedName name="\B10" localSheetId="3">#REF!</definedName>
    <definedName name="\B10">#REF!</definedName>
    <definedName name="\B11" localSheetId="3">#REF!</definedName>
    <definedName name="\B11">#REF!</definedName>
    <definedName name="\B12" localSheetId="3">#REF!</definedName>
    <definedName name="\B12">#REF!</definedName>
    <definedName name="\B13" localSheetId="3">#REF!</definedName>
    <definedName name="\B13">#REF!</definedName>
    <definedName name="\B14" localSheetId="3">#REF!</definedName>
    <definedName name="\B14">#REF!</definedName>
    <definedName name="\B2" localSheetId="3">#REF!</definedName>
    <definedName name="\B2">#REF!</definedName>
    <definedName name="\B3" localSheetId="3">#REF!</definedName>
    <definedName name="\B3">#REF!</definedName>
    <definedName name="\B4" localSheetId="3">#REF!</definedName>
    <definedName name="\B4">#REF!</definedName>
    <definedName name="\B5" localSheetId="3">#REF!</definedName>
    <definedName name="\B5">#REF!</definedName>
    <definedName name="\B6" localSheetId="3">#REF!</definedName>
    <definedName name="\B6">#REF!</definedName>
    <definedName name="\B7" localSheetId="3">#REF!</definedName>
    <definedName name="\B7">#REF!</definedName>
    <definedName name="\B8" localSheetId="3">#REF!</definedName>
    <definedName name="\B8">#REF!</definedName>
    <definedName name="\B9" localSheetId="3">#REF!</definedName>
    <definedName name="\B9">#REF!</definedName>
    <definedName name="\F" localSheetId="3">#REF!</definedName>
    <definedName name="\F">#REF!</definedName>
    <definedName name="\G" localSheetId="3">#REF!</definedName>
    <definedName name="\G">#REF!</definedName>
    <definedName name="\I" localSheetId="3">#REF!</definedName>
    <definedName name="\I">#REF!</definedName>
    <definedName name="\P" localSheetId="3">#REF!</definedName>
    <definedName name="\P">#REF!</definedName>
    <definedName name="\R" localSheetId="3">#REF!</definedName>
    <definedName name="\R">#REF!</definedName>
    <definedName name="\S" localSheetId="3">#REF!</definedName>
    <definedName name="\S">#REF!</definedName>
    <definedName name="\T" localSheetId="3">#REF!</definedName>
    <definedName name="\T">#REF!</definedName>
    <definedName name="_" localSheetId="3">#REF!</definedName>
    <definedName name="_">#REF!</definedName>
    <definedName name="____fr4" hidden="1">{#N/A,#N/A,FALSE,"Table of Contents";#N/A,#N/A,FALSE,"Overview";#N/A,#N/A,FALSE,"Data"}</definedName>
    <definedName name="____hu89" hidden="1">{#N/A,#N/A,FALSE,"Table of Contents";#N/A,#N/A,FALSE,"Overview";#N/A,#N/A,FALSE,"Data"}</definedName>
    <definedName name="____kyg867" hidden="1">{#N/A,#N/A,FALSE,"Table of Contents";#N/A,#N/A,FALSE,"Overview";#N/A,#N/A,FALSE,"Data"}</definedName>
    <definedName name="___fr4" hidden="1">{#N/A,#N/A,FALSE,"Table of Contents";#N/A,#N/A,FALSE,"Overview";#N/A,#N/A,FALSE,"Data"}</definedName>
    <definedName name="___hu89" hidden="1">{#N/A,#N/A,FALSE,"Table of Contents";#N/A,#N/A,FALSE,"Overview";#N/A,#N/A,FALSE,"Data"}</definedName>
    <definedName name="___kyg867" hidden="1">{#N/A,#N/A,FALSE,"Table of Contents";#N/A,#N/A,FALSE,"Overview";#N/A,#N/A,FALSE,"Data"}</definedName>
    <definedName name="__123Graph_A" hidden="1">'[1]U.S ILD'!$B$14:$F$14</definedName>
    <definedName name="__123Graph_ACURRENT" hidden="1">'[1]U.S ILD'!$B$14:$F$14</definedName>
    <definedName name="__123Graph_B" hidden="1">'[1]U.S ILD'!$B$32:$F$32</definedName>
    <definedName name="__123Graph_BCURRENT" hidden="1">'[1]U.S ILD'!$B$32:$F$32</definedName>
    <definedName name="__123Graph_X" hidden="1">'[1]U.S ILD'!$B$3:$F$3</definedName>
    <definedName name="__123Graph_XCURRENT" hidden="1">'[1]U.S ILD'!$B$3:$F$3</definedName>
    <definedName name="__FDS_HYPERLINK_TOGGLE_STATE__" hidden="1">"ON"</definedName>
    <definedName name="__fr4" hidden="1">{#N/A,#N/A,FALSE,"Table of Contents";#N/A,#N/A,FALSE,"Overview";#N/A,#N/A,FALSE,"Data"}</definedName>
    <definedName name="__hu89" hidden="1">{#N/A,#N/A,FALSE,"Table of Contents";#N/A,#N/A,FALSE,"Overview";#N/A,#N/A,FALSE,"Data"}</definedName>
    <definedName name="__kyg867" hidden="1">{#N/A,#N/A,FALSE,"Table of Contents";#N/A,#N/A,FALSE,"Overview";#N/A,#N/A,FALSE,"Data"}</definedName>
    <definedName name="_bdm.8E105F6FC5684E589F4F281BEF66075B.edm" localSheetId="3" hidden="1">#REF!</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hidden="1">{#N/A,#N/A,TRUE,"Allacciamenti 5 anni";#N/A,#N/A,TRUE,"Carico 5 anni";#N/A,#N/A,TRUE,"Qualità a) 5 anni";#N/A,#N/A,TRUE,"Qualità b) 5 anni";#N/A,#N/A,TRUE,"Impatto ambientale 5 anni";#N/A,#N/A,TRUE,"Adeg. tecnico 5 anni"}</definedName>
    <definedName name="_fhf2" hidden="1">{#N/A,#N/A,FALSE,"CA";#N/A,#N/A,FALSE,"CN";#N/A,#N/A,FALSE,"Inv";#N/A,#N/A,FALSE,"Inv Acc";"Miguel_balance",#N/A,FALSE,"Bal";#N/A,#N/A,FALSE,"Plantilla";#N/A,#N/A,FALSE,"CA (2)";#N/A,#N/A,FALSE,"CN (2)"}</definedName>
    <definedName name="_Fill" localSheetId="3" hidden="1">#REF!</definedName>
    <definedName name="_Fill" hidden="1">#REF!</definedName>
    <definedName name="_fr4" hidden="1">{#N/A,#N/A,FALSE,"Table of Contents";#N/A,#N/A,FALSE,"Overview";#N/A,#N/A,FALSE,"Data"}</definedName>
    <definedName name="_ftn1" localSheetId="4">'Project emissions BATT'!#REF!</definedName>
    <definedName name="_ftn1" localSheetId="3">'Reference emissions BATT'!#REF!</definedName>
    <definedName name="_ftnref1" localSheetId="4">'Project emissions BATT'!#REF!</definedName>
    <definedName name="_ftnref1" localSheetId="3">'Reference emissions BATT'!#REF!</definedName>
    <definedName name="_GSRATES_1" hidden="1">"CF300001Invalid 20040101"</definedName>
    <definedName name="_GSRATES_COUNT" hidden="1">1</definedName>
    <definedName name="_Hlk38524627" localSheetId="1">Summary!#REF!</definedName>
    <definedName name="_hu89" hidden="1">{#N/A,#N/A,FALSE,"Table of Contents";#N/A,#N/A,FALSE,"Overview";#N/A,#N/A,FALSE,"Data"}</definedName>
    <definedName name="_Key1" localSheetId="3" hidden="1">#REF!</definedName>
    <definedName name="_Key1" hidden="1">#REF!</definedName>
    <definedName name="_Key2" hidden="1">'[3]Business Plan'!$B$26:$B$35</definedName>
    <definedName name="_kyg867" hidden="1">{#N/A,#N/A,FALSE,"Table of Contents";#N/A,#N/A,FALSE,"Overview";#N/A,#N/A,FALSE,"Data"}</definedName>
    <definedName name="_Order1" hidden="1">255</definedName>
    <definedName name="_Order2" hidden="1">255</definedName>
    <definedName name="_p1" localSheetId="3">OFFSET(Full_Print,0,0,'Reference emissions BATT'!Last_Row)</definedName>
    <definedName name="_p1">OFFSET(Full_Print,0,0,Last_Row)</definedName>
    <definedName name="_Q5" hidden="1">{#N/A,#N/A,FALSE,"CA";#N/A,#N/A,FALSE,"CN";#N/A,#N/A,FALSE,"Inv";#N/A,#N/A,FALSE,"Inv Acc";"Miguel_balance",#N/A,FALSE,"Bal";#N/A,#N/A,FALSE,"Plantilla";#N/A,#N/A,FALSE,"CA (2)";#N/A,#N/A,FALSE,"CN (2)"}</definedName>
    <definedName name="_ric1">[2]Formule!$H$2</definedName>
    <definedName name="_ric2">[2]Formule!$H$3</definedName>
    <definedName name="_ric3">[2]Formule!$H$4</definedName>
    <definedName name="_ric4">[2]Formule!$H$5</definedName>
    <definedName name="_Sort" localSheetId="3" hidden="1">#REF!</definedName>
    <definedName name="_Sort" hidden="1">#REF!</definedName>
    <definedName name="_Table2_In1" localSheetId="3" hidden="1">#REF!</definedName>
    <definedName name="_Table2_In1" hidden="1">#REF!</definedName>
    <definedName name="_Table2_Out" localSheetId="3" hidden="1">#REF!</definedName>
    <definedName name="_Table2_Out" hidden="1">#REF!</definedName>
    <definedName name="_Toc406422007" localSheetId="7">'History of changes (Examples)'!$A$1</definedName>
    <definedName name="_Toc406422008" localSheetId="7">'History of changes (Examples)'!$A$2</definedName>
    <definedName name="_Toc406422009" localSheetId="7">'History of changes (Examples)'!$B$2</definedName>
    <definedName name="_Toc406422010" localSheetId="7">'History of changes (Examples)'!$C$2</definedName>
    <definedName name="A" hidden="1">{"Area1",#N/A,TRUE,"Obiettivo";"Area2",#N/A,TRUE,"Dati per Direzione"}</definedName>
    <definedName name="A_gestione_fornitori" localSheetId="3">#REF!</definedName>
    <definedName name="A_gestione_fornitori">#REF!</definedName>
    <definedName name="aa" hidden="1">{#N/A,#N/A,FALSE,"Table of Contents";#N/A,#N/A,FALSE,"Overview";#N/A,#N/A,FALSE,"Data"}</definedName>
    <definedName name="AAA" localSheetId="3">[0]!Foglio1</definedName>
    <definedName name="AAA">[0]!Foglio1</definedName>
    <definedName name="AAA_DOCTOPS" hidden="1">"AAA_SET"</definedName>
    <definedName name="AAA_duser" hidden="1">"OFF"</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3" hidden="1">#REF!</definedName>
    <definedName name="abc" hidden="1">#REF!</definedName>
    <definedName name="AccessDatabase" hidden="1">"D:\Sis\WIND_NETWORK\ANNO 2003\Consuntivi\DETTAGLIO ATTIVITA.mdb"</definedName>
    <definedName name="ADDMENU" localSheetId="3">#REF!</definedName>
    <definedName name="ADDMENU">#REF!</definedName>
    <definedName name="ADDMENU_RANGE" localSheetId="3">#REF!</definedName>
    <definedName name="ADDMENU_RANGE">#REF!</definedName>
    <definedName name="afsda" hidden="1">{#N/A,#N/A,FALSE,"Antony Financials";#N/A,#N/A,FALSE,"Cowboy Financials";#N/A,#N/A,FALSE,"Combined";#N/A,#N/A,FALSE,"Valuematrix";#N/A,#N/A,FALSE,"DCFAntony";#N/A,#N/A,FALSE,"DCFCowboy";#N/A,#N/A,FALSE,"DCFCombined"}</definedName>
    <definedName name="AllApps" localSheetId="3">#REF!</definedName>
    <definedName name="AllApps">#REF!</definedName>
    <definedName name="altro1" localSheetId="3">#REF!</definedName>
    <definedName name="altro1">#REF!</definedName>
    <definedName name="altro2" localSheetId="3">#REF!</definedName>
    <definedName name="altro2">#REF!</definedName>
    <definedName name="anscount" hidden="1">16</definedName>
    <definedName name="AP_00">'[2]CONS n-1 | AP n-1'!$F$1:$AZ$2500</definedName>
    <definedName name="Applications" localSheetId="3">#REF!</definedName>
    <definedName name="Applications">#REF!</definedName>
    <definedName name="aprile" hidden="1">{"Area1",#N/A,TRUE,"Obiettivo";"Area2",#N/A,TRUE,"Dati per Direzione"}</definedName>
    <definedName name="aq" hidden="1">{#N/A,#N/A,FALSE,"FRPRD"}</definedName>
    <definedName name="AreaPL1">[4]CAM1!$Q$86:$CA$188</definedName>
    <definedName name="ASAS" hidden="1">{"Area1",#N/A,TRUE,"Obiettivo";"Area2",#N/A,TRUE,"Dati per Direzione"}</definedName>
    <definedName name="asdsad" hidden="1">{#N/A,#N/A,TRUE,"Allacciamenti 5 anni";#N/A,#N/A,TRUE,"Carico 5 anni";#N/A,#N/A,TRUE,"Qualità a) 5 anni";#N/A,#N/A,TRUE,"Qualità b) 5 anni";#N/A,#N/A,TRUE,"Impatto ambientale 5 anni";#N/A,#N/A,TRUE,"Adeg. tecnico 5 anni"}</definedName>
    <definedName name="Attivazione_Scenario">[5]Scenarios!$H$13</definedName>
    <definedName name="AUNA" hidden="1">{"Informes",#N/A,FALSE,"CA";"Informes",#N/A,FALSE,"CN";"Informes",#N/A,FALSE,"INVERSIONES";"Informes",#N/A,FALSE,"CN Oficial";"Informes",#N/A,FALSE,"CA Oficial";"Informes",#N/A,FALSE,"Res Datos Areas"}</definedName>
    <definedName name="Average_Debt_Life">'[5]Ratios Output'!$J$33</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 localSheetId="3">'[6]Learning curve parameters'!#REF!</definedName>
    <definedName name="b_other_com">'[6]Learning curve parameters'!#REF!</definedName>
    <definedName name="b_other_uti" localSheetId="3">'[6]Learning curve parameters'!#REF!</definedName>
    <definedName name="b_other_uti">'[6]Learning curve parameters'!#REF!</definedName>
    <definedName name="BACK_A">[7]AcqIS:AcqBSCF!$A$54:$N$55</definedName>
    <definedName name="BaseYear">[8]Economic_Assumptions!$D$19</definedName>
    <definedName name="bb" hidden="1">{#N/A,#N/A,FALSE,"Table of Contents";#N/A,#N/A,FALSE,"Overview";#N/A,#N/A,FALSE,"Data"}</definedName>
    <definedName name="bb_M0FDOTAzRTVBMTZBNDc2RE" localSheetId="3" hidden="1">#REF!</definedName>
    <definedName name="bb_M0FDOTAzRTVBMTZBNDc2RE" hidden="1">#REF!</definedName>
    <definedName name="bb_MTk0NDE5QTI2NTVBNDM0Mz" localSheetId="3" hidden="1">#REF!</definedName>
    <definedName name="bb_MTk0NDE5QTI2NTVBNDM0Mz" hidden="1">#REF!</definedName>
    <definedName name="bb_RTRDMjFDM0I3NzRDNDAxQT" localSheetId="3" hidden="1">#REF!</definedName>
    <definedName name="bb_RTRDMjFDM0I3NzRDNDAxQT" hidden="1">#REF!</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hidden="1">{"IS",#N/A,FALSE,"IS";"RPTIS",#N/A,FALSE,"RPTIS";"STATS",#N/A,FALSE,"STATS";"CELL",#N/A,FALSE,"CELL";"BS",#N/A,FALSE,"BS"}</definedName>
    <definedName name="bi" localSheetId="3">#REF!</definedName>
    <definedName name="bi">#REF!</definedName>
    <definedName name="bil" localSheetId="3">[0]!Foglio1</definedName>
    <definedName name="bil">[0]!Foglio1</definedName>
    <definedName name="BILANCIO" localSheetId="3">#REF!</definedName>
    <definedName name="BILANCIO">#REF!</definedName>
    <definedName name="bom">'[9]Analisi spazi Magazzini'!$A$5:$S$65</definedName>
    <definedName name="bondUS">'[10]Global Scenario'!$G$265:$Q$265</definedName>
    <definedName name="BtfeIndexSheetTable" localSheetId="3">#REF!</definedName>
    <definedName name="BtfeIndexSheetTable">#REF!</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hidden="1">{#N/A,#N/A,FALSE,"Antony Financials";#N/A,#N/A,FALSE,"Cowboy Financials";#N/A,#N/A,FALSE,"Combined";#N/A,#N/A,FALSE,"Valuematrix";#N/A,#N/A,FALSE,"DCFAntony";#N/A,#N/A,FALSE,"DCFCowboy";#N/A,#N/A,FALSE,"DCFCombined"}</definedName>
    <definedName name="Cap_Int_Copy" localSheetId="3">#REF!</definedName>
    <definedName name="Cap_Int_Copy">#REF!</definedName>
    <definedName name="Cap_Int_Paste" localSheetId="3">#REF!</definedName>
    <definedName name="Cap_Int_Paste">#REF!</definedName>
    <definedName name="CAPEXO_PROFILE" localSheetId="3">#REF!</definedName>
    <definedName name="CAPEXO_PROFILE">#REF!</definedName>
    <definedName name="casdc" hidden="1">{"Employee Efficiency",#N/A,FALSE,"Benchmarking"}</definedName>
    <definedName name="CASENUMBER">[11]Inputs!$C$28</definedName>
    <definedName name="CAT_TC000_AGO" localSheetId="3">#REF!</definedName>
    <definedName name="CAT_TC000_AGO">#REF!</definedName>
    <definedName name="CAT_TC000_APR" localSheetId="3">#REF!</definedName>
    <definedName name="CAT_TC000_APR">#REF!</definedName>
    <definedName name="CAT_TC000_DIC" localSheetId="3">#REF!</definedName>
    <definedName name="CAT_TC000_DIC">#REF!</definedName>
    <definedName name="CAT_TC000_FEB" localSheetId="3">#REF!</definedName>
    <definedName name="CAT_TC000_FEB">#REF!</definedName>
    <definedName name="CAT_TC000_GEN" localSheetId="3">#REF!</definedName>
    <definedName name="CAT_TC000_GEN">#REF!</definedName>
    <definedName name="CAT_TC000_GIU" localSheetId="3">#REF!</definedName>
    <definedName name="CAT_TC000_GIU">#REF!</definedName>
    <definedName name="CAT_TC000_LUG" localSheetId="3">#REF!</definedName>
    <definedName name="CAT_TC000_LUG">#REF!</definedName>
    <definedName name="CAT_TC000_MAG" localSheetId="3">#REF!</definedName>
    <definedName name="CAT_TC000_MAG">#REF!</definedName>
    <definedName name="CAT_TC000_MAR" localSheetId="3">#REF!</definedName>
    <definedName name="CAT_TC000_MAR">#REF!</definedName>
    <definedName name="CAT_TC000_NOV" localSheetId="3">#REF!</definedName>
    <definedName name="CAT_TC000_NOV">#REF!</definedName>
    <definedName name="CAT_TC000_OTT" localSheetId="3">#REF!</definedName>
    <definedName name="CAT_TC000_OTT">#REF!</definedName>
    <definedName name="CAT_TC000_SET" localSheetId="3">#REF!</definedName>
    <definedName name="CAT_TC000_SET">#REF!</definedName>
    <definedName name="CAT_TCBS_AGO" localSheetId="3">#REF!</definedName>
    <definedName name="CAT_TCBS_AGO">#REF!</definedName>
    <definedName name="CAT_TCBS_APR" localSheetId="3">#REF!</definedName>
    <definedName name="CAT_TCBS_APR">#REF!</definedName>
    <definedName name="CAT_TCBS_DIC" localSheetId="3">#REF!</definedName>
    <definedName name="CAT_TCBS_DIC">#REF!</definedName>
    <definedName name="CAT_TCBS_GIU" localSheetId="3">#REF!</definedName>
    <definedName name="CAT_TCBS_GIU">#REF!</definedName>
    <definedName name="CAT_TCBS_LUG" localSheetId="3">#REF!</definedName>
    <definedName name="CAT_TCBS_LUG">#REF!</definedName>
    <definedName name="CAT_TCBS_MAG" localSheetId="3">#REF!</definedName>
    <definedName name="CAT_TCBS_MAG">#REF!</definedName>
    <definedName name="CAT_TCBS_NOV" localSheetId="3">#REF!</definedName>
    <definedName name="CAT_TCBS_NOV">#REF!</definedName>
    <definedName name="CAT_TCBS_OTT" localSheetId="3">#REF!</definedName>
    <definedName name="CAT_TCBS_OTT">#REF!</definedName>
    <definedName name="CAT_TCBS_SET" localSheetId="3">#REF!</definedName>
    <definedName name="CAT_TCBS_SET">#REF!</definedName>
    <definedName name="CAT_TE000_AGO" localSheetId="3">#REF!</definedName>
    <definedName name="CAT_TE000_AGO">#REF!</definedName>
    <definedName name="CAT_TE000_APR" localSheetId="3">#REF!</definedName>
    <definedName name="CAT_TE000_APR">#REF!</definedName>
    <definedName name="CAT_TE000_DIC" localSheetId="3">#REF!</definedName>
    <definedName name="CAT_TE000_DIC">#REF!</definedName>
    <definedName name="CAT_TE000_FEB" localSheetId="3">#REF!</definedName>
    <definedName name="CAT_TE000_FEB">#REF!</definedName>
    <definedName name="CAT_TE000_GEN" localSheetId="3">#REF!</definedName>
    <definedName name="CAT_TE000_GEN">#REF!</definedName>
    <definedName name="CAT_TE000_GIU" localSheetId="3">#REF!</definedName>
    <definedName name="CAT_TE000_GIU">#REF!</definedName>
    <definedName name="CAT_TE000_LUG" localSheetId="3">#REF!</definedName>
    <definedName name="CAT_TE000_LUG">#REF!</definedName>
    <definedName name="CAT_TE000_MAG" localSheetId="3">#REF!</definedName>
    <definedName name="CAT_TE000_MAG">#REF!</definedName>
    <definedName name="CAT_TE000_MAR" localSheetId="3">#REF!</definedName>
    <definedName name="CAT_TE000_MAR">#REF!</definedName>
    <definedName name="CAT_TE000_NOV" localSheetId="3">#REF!</definedName>
    <definedName name="CAT_TE000_NOV">#REF!</definedName>
    <definedName name="CAT_TE000_OTT" localSheetId="3">#REF!</definedName>
    <definedName name="CAT_TE000_OTT">#REF!</definedName>
    <definedName name="CAT_TE000_SET" localSheetId="3">#REF!</definedName>
    <definedName name="CAT_TE000_SET">#REF!</definedName>
    <definedName name="CAT_TEBS_AGO" localSheetId="3">#REF!</definedName>
    <definedName name="CAT_TEBS_AGO">#REF!</definedName>
    <definedName name="CAT_TEBS_APR" localSheetId="3">#REF!</definedName>
    <definedName name="CAT_TEBS_APR">#REF!</definedName>
    <definedName name="CAT_TEBS_DIC" localSheetId="3">#REF!</definedName>
    <definedName name="CAT_TEBS_DIC">#REF!</definedName>
    <definedName name="CAT_TEBS_GIU" localSheetId="3">#REF!</definedName>
    <definedName name="CAT_TEBS_GIU">#REF!</definedName>
    <definedName name="CAT_TEBS_LUG" localSheetId="3">#REF!</definedName>
    <definedName name="CAT_TEBS_LUG">#REF!</definedName>
    <definedName name="CAT_TEBS_MAG" localSheetId="3">#REF!</definedName>
    <definedName name="CAT_TEBS_MAG">#REF!</definedName>
    <definedName name="CAT_TEBS_NOV" localSheetId="3">#REF!</definedName>
    <definedName name="CAT_TEBS_NOV">#REF!</definedName>
    <definedName name="CAT_TEBS_OTT" localSheetId="3">#REF!</definedName>
    <definedName name="CAT_TEBS_OTT">#REF!</definedName>
    <definedName name="CAT_TEBS_SET" localSheetId="3">#REF!</definedName>
    <definedName name="CAT_TEBS_SET">#REF!</definedName>
    <definedName name="CAT_TM000_AGO" localSheetId="3">#REF!</definedName>
    <definedName name="CAT_TM000_AGO">#REF!</definedName>
    <definedName name="CAT_TM000_APR" localSheetId="3">#REF!</definedName>
    <definedName name="CAT_TM000_APR">#REF!</definedName>
    <definedName name="CAT_TM000_DIC" localSheetId="3">#REF!</definedName>
    <definedName name="CAT_TM000_DIC">#REF!</definedName>
    <definedName name="CAT_TM000_FEB" localSheetId="3">#REF!</definedName>
    <definedName name="CAT_TM000_FEB">#REF!</definedName>
    <definedName name="CAT_TM000_GEN" localSheetId="3">#REF!</definedName>
    <definedName name="CAT_TM000_GEN">#REF!</definedName>
    <definedName name="CAT_TM000_GIU" localSheetId="3">#REF!</definedName>
    <definedName name="CAT_TM000_GIU">#REF!</definedName>
    <definedName name="CAT_TM000_LUG" localSheetId="3">#REF!</definedName>
    <definedName name="CAT_TM000_LUG">#REF!</definedName>
    <definedName name="CAT_TM000_MAG" localSheetId="3">#REF!</definedName>
    <definedName name="CAT_TM000_MAG">#REF!</definedName>
    <definedName name="CAT_TM000_MAR" localSheetId="3">#REF!</definedName>
    <definedName name="CAT_TM000_MAR">#REF!</definedName>
    <definedName name="CAT_TM000_NOV" localSheetId="3">#REF!</definedName>
    <definedName name="CAT_TM000_NOV">#REF!</definedName>
    <definedName name="CAT_TM000_OTT" localSheetId="3">#REF!</definedName>
    <definedName name="CAT_TM000_OTT">#REF!</definedName>
    <definedName name="CAT_TM000_SET" localSheetId="3">#REF!</definedName>
    <definedName name="CAT_TM000_SET">#REF!</definedName>
    <definedName name="CAT_TMBS_AGO" localSheetId="3">#REF!</definedName>
    <definedName name="CAT_TMBS_AGO">#REF!</definedName>
    <definedName name="CAT_TMBS_APR" localSheetId="3">#REF!</definedName>
    <definedName name="CAT_TMBS_APR">#REF!</definedName>
    <definedName name="CAT_TMBS_DIC" localSheetId="3">#REF!</definedName>
    <definedName name="CAT_TMBS_DIC">#REF!</definedName>
    <definedName name="CAT_TMBS_GIU" localSheetId="3">#REF!</definedName>
    <definedName name="CAT_TMBS_GIU">#REF!</definedName>
    <definedName name="CAT_TMBS_LUG" localSheetId="3">#REF!</definedName>
    <definedName name="CAT_TMBS_LUG">#REF!</definedName>
    <definedName name="CAT_TMBS_MAG" localSheetId="3">#REF!</definedName>
    <definedName name="CAT_TMBS_MAG">#REF!</definedName>
    <definedName name="CAT_TMBS_NOV" localSheetId="3">#REF!</definedName>
    <definedName name="CAT_TMBS_NOV">#REF!</definedName>
    <definedName name="CAT_TMBS_OTT" localSheetId="3">#REF!</definedName>
    <definedName name="CAT_TMBS_OTT">#REF!</definedName>
    <definedName name="CAT_TMBS_SET" localSheetId="3">#REF!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hidden="1">{#N/A,#N/A,FALSE,"Table of Contents";#N/A,#N/A,FALSE,"Overview";#N/A,#N/A,FALSE,"Data"}</definedName>
    <definedName name="ccc" localSheetId="3">[0]!Foglio1</definedName>
    <definedName name="ccc">[0]!Foglio1</definedName>
    <definedName name="cccc" hidden="1">{#N/A,#N/A,FALSE,"CreditStat";#N/A,#N/A,FALSE,"SPbrkup";#N/A,#N/A,FALSE,"MerSPsyn";#N/A,#N/A,FALSE,"MerSPwKCsyn";#N/A,#N/A,FALSE,"MerSPwKCsyn (2)";#N/A,#N/A,FALSE,"CreditStat (2)"}</definedName>
    <definedName name="cd" hidden="1">{#N/A,#N/A,FALSE,"FRPRD"}</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 localSheetId="3">#REF!</definedName>
    <definedName name="Cessazioni">#REF!</definedName>
    <definedName name="Cessazioni2001" localSheetId="3">#REF!</definedName>
    <definedName name="Cessazioni2001">#REF!</definedName>
    <definedName name="Ch2Figures" localSheetId="3">#REF!</definedName>
    <definedName name="Ch2Figures">#REF!</definedName>
    <definedName name="Ch3EuroTablesPOM" localSheetId="3">#REF!</definedName>
    <definedName name="Ch3EuroTablesPOM">#REF!</definedName>
    <definedName name="Ch3Figures" localSheetId="3">#REF!</definedName>
    <definedName name="Ch3Figures">#REF!</definedName>
    <definedName name="Ch3TableListPOM" localSheetId="3">#REF!</definedName>
    <definedName name="Ch3TableListPOM">#REF!</definedName>
    <definedName name="Ch4TableListPOM" localSheetId="3">#REF!</definedName>
    <definedName name="Ch4TableListPOM">#REF!</definedName>
    <definedName name="Chart2_Label_2" hidden="1">[14]GSChartLabels!$B$1:$B$4</definedName>
    <definedName name="Chart3_Label_2" hidden="1">[14]GSChartLabels!$A$1:$A$9</definedName>
    <definedName name="Check_Senior_Debt_repayment" localSheetId="3">#REF!</definedName>
    <definedName name="Check_Senior_Debt_repayment">#REF!</definedName>
    <definedName name="coal">'[10]Global commodities scenario '!$G$36:$Q$36</definedName>
    <definedName name="CODICI" localSheetId="3">#REF!</definedName>
    <definedName name="CODICI">#REF!</definedName>
    <definedName name="Coge" localSheetId="3">#REF!</definedName>
    <definedName name="Coge">#REF!</definedName>
    <definedName name="Collezione_Galileo" localSheetId="3">#REF!</definedName>
    <definedName name="Collezione_Galileo">#REF!</definedName>
    <definedName name="Collezione_Galileo__Estero" localSheetId="3">#REF!</definedName>
    <definedName name="Collezione_Galileo__Estero">#REF!</definedName>
    <definedName name="Collezione_Galileo__Italia" localSheetId="3">#REF!</definedName>
    <definedName name="Collezione_Galileo__Italia">#REF!</definedName>
    <definedName name="Comm_Fee_Copy" localSheetId="3">#REF!</definedName>
    <definedName name="Comm_Fee_Copy">#REF!</definedName>
    <definedName name="Comm_Fee_Error" localSheetId="3">#REF!</definedName>
    <definedName name="Comm_Fee_Error">#REF!</definedName>
    <definedName name="Comm_Fee_Paste" localSheetId="3">#REF!</definedName>
    <definedName name="Comm_Fee_Paste">#REF!</definedName>
    <definedName name="CommFee_Paste" localSheetId="3">#REF!</definedName>
    <definedName name="CommFee_Paste">#REF!</definedName>
    <definedName name="CompanyList">OFFSET('[15]Company List'!$A$1,0,0,COUNTA('[15]Company List'!$A:$A),COUNTA('[15]Company List'!$1:$1))</definedName>
    <definedName name="Conti_Lavorazione" localSheetId="3">#REF!</definedName>
    <definedName name="Conti_Lavorazione">#REF!</definedName>
    <definedName name="Conti_lavorazione__Estero" localSheetId="3">#REF!</definedName>
    <definedName name="Conti_lavorazione__Estero">#REF!</definedName>
    <definedName name="Conti_lavorazione__Italia" localSheetId="3">#REF!</definedName>
    <definedName name="Conti_lavorazione__Italia">#REF!</definedName>
    <definedName name="Convergence">[5]Audit!$H$46</definedName>
    <definedName name="COS_LkWh" localSheetId="3">#REF!</definedName>
    <definedName name="COS_LkWh">#REF!</definedName>
    <definedName name="CostsAndPrices">OFFSET('[15]Costs and Prices'!$A$1,0,0,COUNTA('[15]Costs and Prices'!$A:$A),COUNTA('[15]Costs and Prices'!$1:$1))</definedName>
    <definedName name="coun" hidden="1">{#N/A,#N/A,FALSE,"Assessment";#N/A,#N/A,FALSE,"Staffing";#N/A,#N/A,FALSE,"Hires";#N/A,#N/A,FALSE,"Assumptions"}</definedName>
    <definedName name="COUNT2"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[11]References!$C$85</definedName>
    <definedName name="CURMULTIPLIER">[11]References!$C$86</definedName>
    <definedName name="d" hidden="1">{#N/A,#N/A,FALSE,"F-YLDS";#N/A,#N/A,FALSE,"ASP";#N/A,#N/A,FALSE,"FRPRD"}</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[19]Tabella_Intestazione!$A$2:$J$38</definedName>
    <definedName name="dati7" localSheetId="3">#REF!</definedName>
    <definedName name="dati7">#REF!</definedName>
    <definedName name="db">[20]bd!$B$6:$BA$58</definedName>
    <definedName name="DB_Finale" localSheetId="3">#REF!</definedName>
    <definedName name="DB_Finale">#REF!</definedName>
    <definedName name="dcc" hidden="1">{"mgmt forecast",#N/A,FALSE,"Mgmt Forecast";"dcf table",#N/A,FALSE,"Mgmt Forecast";"sensitivity",#N/A,FALSE,"Mgmt Forecast";"table inputs",#N/A,FALSE,"Mgmt Forecast";"calculations",#N/A,FALSE,"Mgmt Forecast"}</definedName>
    <definedName name="DD"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hidden="1">{"'Scheda bianca'!$A$1:$L$42"}</definedName>
    <definedName name="dddddd" hidden="1">{#N/A,#N/A,TRUE,"Allacciamenti 5 anni";#N/A,#N/A,TRUE,"Carico 5 anni";#N/A,#N/A,TRUE,"Qualità a) 5 anni";#N/A,#N/A,TRUE,"Qualità b) 5 anni";#N/A,#N/A,TRUE,"Impatto ambientale 5 anni";#N/A,#N/A,TRUE,"Adeg. tecnico 5 anni"}</definedName>
    <definedName name="Debt_Senior_Schedule">[21]Operation!$J$315:$CE$315</definedName>
    <definedName name="Debt_Senior_Schedule_Paste">[21]Operation!$J$316:$CE$316</definedName>
    <definedName name="DECRS" localSheetId="3">#REF!</definedName>
    <definedName name="DECRS">#REF!</definedName>
    <definedName name="degradation">[6]LCOE!$C$6</definedName>
    <definedName name="Delta_WACC">[11]Sens!$F$213</definedName>
    <definedName name="Delta_WACC_HR">[11]Sens!$F$214</definedName>
    <definedName name="df" hidden="1">{#N/A,#N/A,FALSE,"FRPRD"}</definedName>
    <definedName name="dfadf" hidden="1">{"Line Efficiency",#N/A,FALSE,"Benchmarking"}</definedName>
    <definedName name="dfadfa" hidden="1">{#N/A,#N/A,FALSE,"Spain MKT";#N/A,#N/A,FALSE,"Assumptions";#N/A,#N/A,FALSE,"Adve";#N/A,#N/A,FALSE,"E-Commerce";#N/A,#N/A,FALSE,"Opex";#N/A,#N/A,FALSE,"P&amp;L";#N/A,#N/A,FALSE,"FCF &amp; DCF"}</definedName>
    <definedName name="dfaf" hidden="1">{"cap_structure",#N/A,FALSE,"Graph-Mkt Cap";"price",#N/A,FALSE,"Graph-Price";"ebit",#N/A,FALSE,"Graph-EBITDA";"ebitda",#N/A,FALSE,"Graph-EBITDA"}</definedName>
    <definedName name="dfafa" hidden="1">{"summary1",#N/A,TRUE,"Comps";"summary2",#N/A,TRUE,"Comps";"summary3",#N/A,TRUE,"Comps"}</definedName>
    <definedName name="dfafadfs" hidden="1">{"standalone1",#N/A,FALSE,"DCFBase";"standalone2",#N/A,FALSE,"DCFBase"}</definedName>
    <definedName name="dfafas" hidden="1">{#N/A,#N/A,FALSE,"CreditStat";#N/A,#N/A,FALSE,"SPbrkup";#N/A,#N/A,FALSE,"MerSPsyn";#N/A,#N/A,FALSE,"MerSPwKCsyn";#N/A,#N/A,FALSE,"MerSPwKCsyn (2)";#N/A,#N/A,FALSE,"CreditStat (2)"}</definedName>
    <definedName name="dfas" hidden="1">{#N/A,#N/A,FALSE,"Contribution Analysis"}</definedName>
    <definedName name="dfasd" hidden="1">{"Tarifica91",#N/A,FALSE,"Tariffs";"Tarifica92",#N/A,FALSE,"Tariffs";"Tarifica93",#N/A,FALSE,"Tariffs";"Tarifica94",#N/A,FALSE,"Tariffs";"Tarifica95",#N/A,FALSE,"Tariffs";"Tarifica96",#N/A,FALSE,"Tariffs"}</definedName>
    <definedName name="dfasdfa" hidden="1">{"mgmt forecast",#N/A,FALSE,"Mgmt Forecast";"dcf table",#N/A,FALSE,"Mgmt Forecast";"sensitivity",#N/A,FALSE,"Mgmt Forecast";"table inputs",#N/A,FALSE,"Mgmt Forecast";"calculations",#N/A,FALSE,"Mgmt Forecast"}</definedName>
    <definedName name="dfasdfc" hidden="1">{"coverall",#N/A,FALSE,"Definitions";"cover1",#N/A,FALSE,"Definitions";"cover2",#N/A,FALSE,"Definitions";"cover3",#N/A,FALSE,"Definitions";"cover4",#N/A,FALSE,"Definitions";"cover5",#N/A,FALSE,"Definitions";"blank",#N/A,FALSE,"Definitions"}</definedName>
    <definedName name="dfgdf" hidden="1">{"'Finale (2)'!$A$2:$C$3"}</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[5]Input!$H$303</definedName>
    <definedName name="dqpoie" hidden="1">{"subs",#N/A,FALSE,"database ";"proportional",#N/A,FALSE,"database "}</definedName>
    <definedName name="Drawdown_SH_loan_copy">[22]Calculations_!$F$36</definedName>
    <definedName name="dsa" hidden="1">{#N/A,#N/A,TRUE,"Allacciamenti 5 anni";#N/A,#N/A,TRUE,"Carico 5 anni";#N/A,#N/A,TRUE,"Qualità a) 5 anni";#N/A,#N/A,TRUE,"Qualità b) 5 anni";#N/A,#N/A,TRUE,"Impatto ambientale 5 anni";#N/A,#N/A,TRUE,"Adeg. tecnico 5 anni"}</definedName>
    <definedName name="DSCR_Copy" localSheetId="3">#REF!</definedName>
    <definedName name="DSCR_Copy">#REF!</definedName>
    <definedName name="DSCR_min">[11]Inputs!$D$126</definedName>
    <definedName name="DSCR_Paste" localSheetId="3">#REF!</definedName>
    <definedName name="DSCR_Paste">#REF!</definedName>
    <definedName name="DSCR_target">[11]Inputs!$G$129</definedName>
    <definedName name="DSRA">[5]Construction!$J$162:$EK$162</definedName>
    <definedName name="DSRA_paste">[5]Construction!$J$163:$EK$163</definedName>
    <definedName name="DSRA_Release_Paste" localSheetId="3">#REF!</definedName>
    <definedName name="DSRA_Release_Paste">#REF!</definedName>
    <definedName name="dxsdw" hidden="1">{"sweden",#N/A,FALSE,"Sweden";"germany",#N/A,FALSE,"Germany";"portugal",#N/A,FALSE,"Portugal";"belgium",#N/A,FALSE,"Belgium";"japan",#N/A,FALSE,"Japan ";"italy",#N/A,FALSE,"Italy";"spain",#N/A,FALSE,"Spain";"korea",#N/A,FALSE,"Korea"}</definedName>
    <definedName name="e" hidden="1">{#N/A,#N/A,TRUE,"Allacciamenti 5 anni";#N/A,#N/A,TRUE,"Carico 5 anni";#N/A,#N/A,TRUE,"Qualità a) 5 anni";#N/A,#N/A,TRUE,"Qualità b) 5 anni";#N/A,#N/A,TRUE,"Impatto ambientale 5 anni";#N/A,#N/A,TRUE,"Adeg. tecnico 5 anni"}</definedName>
    <definedName name="ed" hidden="1">{#N/A,#N/A,FALSE,"FRPRD"}</definedName>
    <definedName name="EEE" hidden="1">{#N/A,#N/A,TRUE,"Allacciamenti 5 anni";#N/A,#N/A,TRUE,"Carico 5 anni";#N/A,#N/A,TRUE,"Qualità a) 5 anni";#N/A,#N/A,TRUE,"Qualità b) 5 anni";#N/A,#N/A,TRUE,"Impatto ambientale 5 anni";#N/A,#N/A,TRUE,"Adeg. tecnico 5 anni"}</definedName>
    <definedName name="eFFETT" localSheetId="3">[0]!Foglio1</definedName>
    <definedName name="eFFETT">[0]!Foglio1</definedName>
    <definedName name="ELECUNITPRICE_value">[11]Inputs!$C$329</definedName>
    <definedName name="elenco1">[2]Formule!$R$2:$S$64</definedName>
    <definedName name="ENEL___DPT__SGC" localSheetId="3">#REF!</definedName>
    <definedName name="ENEL___DPT__SGC">#REF!</definedName>
    <definedName name="energy" localSheetId="3">#REF!</definedName>
    <definedName name="energy">#REF!</definedName>
    <definedName name="Equity_NPV_delta">[11]Sens!$D$211</definedName>
    <definedName name="er" hidden="1">{#N/A,#N/A,FALSE,"F-YLDS";#N/A,#N/A,FALSE,"ASP";#N/A,#N/A,FALSE,"FRPRD"}</definedName>
    <definedName name="erqerq" hidden="1">{"Tariff Comparison",#N/A,FALSE,"Benchmarking";"Tariff Comparison 2",#N/A,FALSE,"Benchmarking";"Tariff Comparison 3",#N/A,FALSE,"Benchmarking"}</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 localSheetId="3">#REF!</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[11]Sens!$D$200</definedName>
    <definedName name="Exp." hidden="1">{#N/A,#N/A,FALSE,"F-YLDS";#N/A,#N/A,FALSE,"ASP";#N/A,#N/A,FALSE,"FRPRD"}</definedName>
    <definedName name="_xlnm.Extract">[17]PIANOINV!$C$1018:$BI$65536</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hidden="1">{#N/A,#N/A,FALSE,"Report Print"}</definedName>
    <definedName name="fadsaf" hidden="1">{"Line Efficiency",#N/A,FALSE,"Benchmarking"}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hidden="1">{"print 1",#N/A,FALSE,"PrimeCo PCS";"print 2",#N/A,FALSE,"PrimeCo PCS";"valuation",#N/A,FALSE,"PrimeCo PCS"}</definedName>
    <definedName name="fafd" hidden="1">{"inputs raw data",#N/A,TRUE,"INPUT"}</definedName>
    <definedName name="fasc" hidden="1">{"mgmt forecast",#N/A,FALSE,"Mgmt Forecast";"dcf table",#N/A,FALSE,"Mgmt Forecast";"sensitivity",#N/A,FALSE,"Mgmt Forecast";"table inputs",#N/A,FALSE,"Mgmt Forecast";"calculations",#N/A,FALSE,"Mgmt Forecast"}</definedName>
    <definedName name="fasdgas" hidden="1">{"IS",#N/A,FALSE,"IS";"RPTIS",#N/A,FALSE,"RPTIS";"STATS",#N/A,FALSE,"STATS";"CELL",#N/A,FALSE,"CELL";"BS",#N/A,FALSE,"BS"}</definedName>
    <definedName name="Fatores_Categoria">OFFSET([24]Fatores!$E$1,0,0,COUNTA([24]Fatores!$E:$E))</definedName>
    <definedName name="Fatores_Nome">OFFSET([24]Fatores!$F$1,0,0,COUNTA([24]Fatores!$F:$F))</definedName>
    <definedName name="Fatores_TipoFonte">OFFSET([24]Fatores!$C$1,0,0,COUNTA([24]Fatores!$C:$C))</definedName>
    <definedName name="Fatores_Unidade1">OFFSET([24]Fatores!$I$1,0,0,COUNTA([24]Fatores!$I:$I))</definedName>
    <definedName name="Fatores_Unidade2">OFFSET([24]Fatores!$J$1,0,0,COUNTA([24]Fatores!$J:$J))</definedName>
    <definedName name="Fatores_Valor">OFFSET([24]Fatores!$G$1,0,0,COUNTA([24]Fatores!$G:$G))</definedName>
    <definedName name="fdafa" hidden="1">{"summary1",#N/A,TRUE,"Comps";"summary2",#N/A,TRUE,"Comps";"summary3",#N/A,TRUE,"Comps"}</definedName>
    <definedName name="fdafcc" hidden="1">{"summary1",#N/A,TRUE,"Comps";"summary2",#N/A,TRUE,"Comps";"summary3",#N/A,TRUE,"Comps"}</definedName>
    <definedName name="fdgdfg"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hidden="1">{"Employee Efficiency",#N/A,FALSE,"Benchmarking"}</definedName>
    <definedName name="Fee_Copy" localSheetId="3">#REF!</definedName>
    <definedName name="Fee_Copy">#REF!</definedName>
    <definedName name="Fee_Paste" localSheetId="3">#REF!</definedName>
    <definedName name="Fee_Paste">#REF!</definedName>
    <definedName name="Fees_switch">[11]Sens!$C$171</definedName>
    <definedName name="FF" hidden="1">{#N/A,#N/A,TRUE,"Allacciamenti 5 anni";#N/A,#N/A,TRUE,"Carico 5 anni";#N/A,#N/A,TRUE,"Qualità a) 5 anni";#N/A,#N/A,TRUE,"Qualità b) 5 anni";#N/A,#N/A,TRUE,"Impatto ambientale 5 anni";#N/A,#N/A,TRUE,"Adeg. tecnico 5 anni"}</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hidden="1">{#N/A,#N/A,FALSE,"Table of Contents";#N/A,#N/A,FALSE,"Overview";#N/A,#N/A,FALSE,"Data"}</definedName>
    <definedName name="FFFF" hidden="1">{#N/A,#N/A,TRUE,"Allacciamenti 5 anni";#N/A,#N/A,TRUE,"Carico 5 anni";#N/A,#N/A,TRUE,"Qualità a) 5 anni";#N/A,#N/A,TRUE,"Qualità b) 5 anni";#N/A,#N/A,TRUE,"Impatto ambientale 5 anni";#N/A,#N/A,TRUE,"Adeg. tecnico 5 anni"}</definedName>
    <definedName name="fg" hidden="1">{#N/A,#N/A,FALSE,"FRPRD"}</definedName>
    <definedName name="fgdsgfsd" hidden="1">{"inputs raw data",#N/A,TRUE,"INPUT"}</definedName>
    <definedName name="fgff"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hidden="1">{#N/A,#N/A,FALSE,"CA";#N/A,#N/A,FALSE,"CN";#N/A,#N/A,FALSE,"Inv";#N/A,#N/A,FALSE,"Inv Acc";"Miguel_balance",#N/A,FALSE,"Bal";#N/A,#N/A,FALSE,"Plantilla";#N/A,#N/A,FALSE,"CA (2)";#N/A,#N/A,FALSE,"CN (2)"}</definedName>
    <definedName name="figa7"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[11]References!$H$85</definedName>
    <definedName name="FOREIGN">[11]References!$H$87</definedName>
    <definedName name="FORMULTIPLIER">[11]References!$H$86</definedName>
    <definedName name="Forniture" localSheetId="3">#REF!</definedName>
    <definedName name="Forniture">#REF!</definedName>
    <definedName name="Forniture__Estero" localSheetId="3">#REF!</definedName>
    <definedName name="Forniture__Estero">#REF!</definedName>
    <definedName name="Forniture__Italia" localSheetId="3">#REF!</definedName>
    <definedName name="Forniture__Italia">#REF!</definedName>
    <definedName name="Forniture_Comtez" localSheetId="3">#REF!</definedName>
    <definedName name="Forniture_Comtez">#REF!</definedName>
    <definedName name="Forniture_Comtez___Italia" localSheetId="3">#REF!</definedName>
    <definedName name="Forniture_Comtez___Italia">#REF!</definedName>
    <definedName name="Forniture_Comtez__Estero" localSheetId="3">#REF!</definedName>
    <definedName name="Forniture_Comtez__Estero">#REF!</definedName>
    <definedName name="Forza00_04" localSheetId="3">#REF!</definedName>
    <definedName name="Forza00_04">#REF!</definedName>
    <definedName name="frank" hidden="1">{"'Scheda bianca'!$A$1:$L$42"}</definedName>
    <definedName name="Fuente" localSheetId="3">#REF!</definedName>
    <definedName name="Fuente">#REF!</definedName>
    <definedName name="Fuente_1" localSheetId="3">#REF!</definedName>
    <definedName name="Fuente_1">#REF!</definedName>
    <definedName name="Fuentedos" localSheetId="3">#REF!</definedName>
    <definedName name="Fuentedos">#REF!</definedName>
    <definedName name="Fuenteuno" localSheetId="3">#REF!</definedName>
    <definedName name="Fuenteuno">#REF!</definedName>
    <definedName name="FX">'[10]Local_2 Scenario'!$F$405:$Q$405</definedName>
    <definedName name="FXGI">'[10]Local_2 Scenario'!$F$406:$Q$406</definedName>
    <definedName name="fxjuly">'[10]Local_2 Scenario'!$G$408:$Q$408</definedName>
    <definedName name="g" hidden="1">{#N/A,#N/A,FALSE,"F-YLDS";#N/A,#N/A,FALSE,"ASP";#N/A,#N/A,FALSE,"FRPRD"}</definedName>
    <definedName name="gbbf" hidden="1">{#N/A,#N/A,FALSE,"Table of Contents";#N/A,#N/A,FALSE,"Overview";#N/A,#N/A,FALSE,"Data"}</definedName>
    <definedName name="gert" hidden="1">{"Res_og_nøgle",#N/A,FALSE,"Hovedark";"Balance",#N/A,FALSE,"Hovedark";"Bagside_DK",#N/A,FALSE,"Bagside"}</definedName>
    <definedName name="gg" hidden="1">{"Area1",#N/A,TRUE,"Obiettivo";"Area2",#N/A,TRUE,"Dati per Direzione"}</definedName>
    <definedName name="ggg" hidden="1">{"Area1",#N/A,TRUE,"Obiettivo";"Area2",#N/A,TRUE,"Dati per Direzione"}</definedName>
    <definedName name="gh" hidden="1">{#N/A,#N/A,FALSE,"F-YLDS";#N/A,#N/A,FALSE,"ASP";#N/A,#N/A,FALSE,"FRPRD"}</definedName>
    <definedName name="ghdgh" hidden="1">{"mgmt forecast",#N/A,FALSE,"Mgmt Forecast";"dcf table",#N/A,FALSE,"Mgmt Forecast";"sensitivity",#N/A,FALSE,"Mgmt Forecast";"table inputs",#N/A,FALSE,"Mgmt Forecast";"calculations",#N/A,FALSE,"Mgmt Forecast"}</definedName>
    <definedName name="Giorni" localSheetId="3">#REF!</definedName>
    <definedName name="Giorni">#REF!</definedName>
    <definedName name="giornimese" localSheetId="3">#REF!</definedName>
    <definedName name="giornimese">#REF!</definedName>
    <definedName name="gls_ACT_EST_ROW" hidden="1">[25]Prices!$P$10</definedName>
    <definedName name="gls_ACT_FORM_OFFSET" hidden="1">[25]Prices!$E$11</definedName>
    <definedName name="gls_ADMIN" hidden="1">[25]Prices!$D$30</definedName>
    <definedName name="gls_ALLOW_BOTH_PC" hidden="1">[25]Prices!$D$52</definedName>
    <definedName name="gls_ALLOW_PARENT_OR_CONSOLIDATED" hidden="1">[25]Prices!$D$41</definedName>
    <definedName name="gls_ALLOW_PUBLISH" hidden="1">[25]Prices!$D$27</definedName>
    <definedName name="gls_AnalystEmpNoHeading" hidden="1">[25]Unadjusted!$E$34</definedName>
    <definedName name="gls_AnalystNameHeading" hidden="1">[25]Unadjusted!$D$34</definedName>
    <definedName name="gls_CF_BEGINS" hidden="1">[25]Prices!$D$38</definedName>
    <definedName name="gls_CFD_CHANGEACT" hidden="1">[25]Prices!$D$45</definedName>
    <definedName name="gls_CFD_CHANGEEST" hidden="1">[25]Prices!$D$46</definedName>
    <definedName name="gls_CFD_FIRSTAVAIL" hidden="1">[25]Prices!$D$47</definedName>
    <definedName name="gls_CFD_LISTAVAIL" hidden="1">[25]Prices!$D$48</definedName>
    <definedName name="gls_CFD_SELECTED" hidden="1">[25]Prices!$D$44</definedName>
    <definedName name="gls_CHANGED_NAMES" hidden="1">[25]Prices!$D$25</definedName>
    <definedName name="gls_CHG_KEY_USER" hidden="1">[25]Prices!$D$10</definedName>
    <definedName name="gls_CHG_SEL_ONLY" hidden="1">[25]Prices!$D$9</definedName>
    <definedName name="gls_COMPANY_WORKBOOK_ID" hidden="1">[25]Prices!$D$17</definedName>
    <definedName name="gls_DELETED_PERIODS" hidden="1">[25]Prices!$J$1</definedName>
    <definedName name="gls_EST_FORM_OFFSET" hidden="1">[25]Prices!$F$11</definedName>
    <definedName name="gls_EXC_NOT_EXT" hidden="1">[25]Prices!$D$35</definedName>
    <definedName name="gls_EXISTING_PERIODS" hidden="1">[25]Prices!$G$1</definedName>
    <definedName name="gls_EXT_BELOW_PBT" hidden="1">[25]Prices!$D$39</definedName>
    <definedName name="gls_EXT_LINK_GLOSS" hidden="1">[25]Prices!$D$50</definedName>
    <definedName name="gls_EXTERNAL_COL_REF" hidden="1">[25]Prices!$O$3</definedName>
    <definedName name="gls_FIRST_ITEM" hidden="1">[25]Prices!$O$13</definedName>
    <definedName name="gls_FIRST_PK" hidden="1">[25]Prices!$A$13</definedName>
    <definedName name="gls_FIRST_ROWMULT" hidden="1">[25]Prices!$L$13</definedName>
    <definedName name="gls_FIRST_UNITS" hidden="1">[25]Prices!$K$13</definedName>
    <definedName name="gls_FIXED_NAMES" hidden="1">[25]Prices!$O$7</definedName>
    <definedName name="gls_FONT_STATUS" hidden="1">[25]Prices!$C$13</definedName>
    <definedName name="gls_GenAccountingConvention" hidden="1">[25]Unadjusted!$E$16</definedName>
    <definedName name="gls_GenAdditionalInfo" hidden="1">[25]Unadjusted!$F$65:$I$71</definedName>
    <definedName name="gls_GenComments" hidden="1">[25]Unadjusted!$H$56:$I$57</definedName>
    <definedName name="gls_GenCompany" hidden="1">[25]Unadjusted!$E$11</definedName>
    <definedName name="gls_GenCompanyInfo" hidden="1">[25]Unadjusted!$B$21:$K$50</definedName>
    <definedName name="gls_GenCountry" hidden="1">[25]Unadjusted!$E$12</definedName>
    <definedName name="gls_GenCurrency" hidden="1">[25]Unadjusted!$E$14</definedName>
    <definedName name="gls_GenCurrencyMultiplier" hidden="1">[25]Unadjusted!$E$15</definedName>
    <definedName name="gls_GenEnterCompInfo" hidden="1">[25]Unadjusted!$E$11:$H$17</definedName>
    <definedName name="gls_GenEPSComment" hidden="1">[25]Unadjusted!$H$53</definedName>
    <definedName name="gls_GenHomeRegion" hidden="1">[25]Unadjusted!$E$13</definedName>
    <definedName name="gls_GenLastPublished" hidden="1">[25]Unadjusted!$F$5</definedName>
    <definedName name="gls_GenLastRecRevised" hidden="1">[25]Unadjusted!$F$6</definedName>
    <definedName name="gls_GenMainInfo" hidden="1">[25]Unadjusted!$B$2:$K$19</definedName>
    <definedName name="gls_GenNoteComment" hidden="1">[25]Unadjusted!$H$54</definedName>
    <definedName name="gls_GenProfile" hidden="1">[25]Unadjusted!$E$17</definedName>
    <definedName name="gls_GenRecComment" hidden="1">[25]Unadjusted!$I$27</definedName>
    <definedName name="gls_GenSaleslineInfo" hidden="1">[25]Unadjusted!$B$53:$K$73</definedName>
    <definedName name="gls_GenSalesSplitByRegion" hidden="1">[25]Unadjusted!$E$56:$E$61</definedName>
    <definedName name="gls_GenSalesSplitHeading" hidden="1">[25]Unadjusted!$D$52</definedName>
    <definedName name="gls_GenSheetVersion" hidden="1">[25]Unadjusted!$F$4</definedName>
    <definedName name="gls_genStockCore" hidden="1">[25]Unadjusted!$G$27</definedName>
    <definedName name="gls_genStockRec" hidden="1">[25]Unadjusted!$F$27</definedName>
    <definedName name="gls_GLOSS_MONTHS" hidden="1">[25]Prices!$A$1:$A$12</definedName>
    <definedName name="gls_GW_IN" hidden="1">[25]Prices!$D$36</definedName>
    <definedName name="gls_IIAA_IN" hidden="1">[25]Prices!$D$37</definedName>
    <definedName name="gls_InterimValue" hidden="1">[25]Prices!$D$22</definedName>
    <definedName name="gls_IssuedStockClassHeading" hidden="1">[25]Unadjusted!$E$27</definedName>
    <definedName name="gls_IssuedStockCodeHeading" hidden="1">[25]Unadjusted!$D$27</definedName>
    <definedName name="gls_IssuedStockFreeFloatHeading" hidden="1">[25]Unadjusted!$H$27</definedName>
    <definedName name="gls_KEY_DATA" hidden="1">[25]Prices!$G$13</definedName>
    <definedName name="gls_KEY_VALUE" hidden="1">[25]Prices!$M$13</definedName>
    <definedName name="gls_LANGUAGE" hidden="1">[25]Prices!$D$23</definedName>
    <definedName name="gls_NEXT_PK" hidden="1">[25]Prices!$D$21</definedName>
    <definedName name="gls_PERIOD_CODE" hidden="1">[25]Prices!$O$2</definedName>
    <definedName name="gls_PERIOD_INDICATOR" hidden="1">[25]Prices!$AA$8</definedName>
    <definedName name="gls_PERIOD_PARENT_OR_CONSOL" hidden="1">[25]Prices!$O$4</definedName>
    <definedName name="gls_PERIOD_TYPE" hidden="1">[25]Prices!$O$5</definedName>
    <definedName name="gls_PrincipalStockClass" hidden="1">[25]Unadjusted!$E$29</definedName>
    <definedName name="gls_PROFILE_NAME" hidden="1">[25]Prices!$D$19</definedName>
    <definedName name="gls_SASS5HistEPSGrowth" hidden="1">[25]Unadjusted!$F$67</definedName>
    <definedName name="gls_SASS5ProjEPSGrowth" hidden="1">[25]Unadjusted!$F$68</definedName>
    <definedName name="gls_SASSDirectorHoldings" hidden="1">[25]Unadjusted!$F$63</definedName>
    <definedName name="gls_SASSEPS45AGR" hidden="1">[25]Unadjusted!$F$65</definedName>
    <definedName name="gls_SASSIsInterimLastAnnounce" hidden="1">[25]Unadjusted!$G$62</definedName>
    <definedName name="gls_SASSLastAnnounce" hidden="1">[25]Unadjusted!$F$62</definedName>
    <definedName name="gls_SASSNETDIV45AGR" hidden="1">[25]Unadjusted!$F$66</definedName>
    <definedName name="gls_SaveBeforePublish" hidden="1">[25]Prices!$D$26</definedName>
    <definedName name="gls_SaveWkbForNewPeriodCodes" hidden="1">[25]Prices!$D$28</definedName>
    <definedName name="gls_ShareholderClassHeading" hidden="1">[25]Unadjusted!$E$41</definedName>
    <definedName name="gls_ShareholderHolding" hidden="1">[25]Unadjusted!$F$41</definedName>
    <definedName name="gls_ShareholderHoldingHeading" hidden="1">[25]Unadjusted!$F$41</definedName>
    <definedName name="gls_ShareholderName" hidden="1">[25]Unadjusted!$D$41</definedName>
    <definedName name="gls_ShareholderNameHeading" hidden="1">[25]Unadjusted!$D$41</definedName>
    <definedName name="gls_ShareholdingName" hidden="1">[25]Unadjusted!$D$41</definedName>
    <definedName name="gls_SHOW_CONTROL_VALUE" hidden="1">[25]Prices!$D$1</definedName>
    <definedName name="gls_SHOW_KEY_VAL_COLUMN" hidden="1">[25]Prices!$D$11</definedName>
    <definedName name="gls_SHOW_KEY_VALUES" hidden="1">[25]Prices!$D$8</definedName>
    <definedName name="gls_SHOW_LINKED_ITEMS" hidden="1">[25]Prices!$D$6</definedName>
    <definedName name="gls_SHOW_LOCAL_NAMES" hidden="1">[25]Prices!$D$2</definedName>
    <definedName name="gls_SHOW_MULTIPLIERS" hidden="1">[25]Prices!$D$7</definedName>
    <definedName name="gls_SHOW_PK_COLUMN" hidden="1">[25]Prices!$D$5</definedName>
    <definedName name="gls_SHOW_STATUS_INFORMATION" hidden="1">[25]Prices!$D$3</definedName>
    <definedName name="gls_SHOW_UNITS" hidden="1">[25]Prices!$D$4</definedName>
    <definedName name="gls_SPARE_YEARS" hidden="1">[25]Prices!$Q$1:$Q$65536</definedName>
    <definedName name="gls_SPECIAL_DIALOG" hidden="1">[25]Prices!$D$49</definedName>
    <definedName name="gls_START_FORMULA_OVERRIDEABLE" hidden="1">[25]Prices!$D$13</definedName>
    <definedName name="gls_START_LOCAL_NAMES" hidden="1">[25]Prices!$N$13</definedName>
    <definedName name="gls_START_PERIOD_CURRENCY" hidden="1">[25]Prices!$R$12</definedName>
    <definedName name="gls_START_STATUS" hidden="1">[25]Prices!$H$13</definedName>
    <definedName name="gls_START_USER_STATUS" hidden="1">[25]Prices!$I$13</definedName>
    <definedName name="gls_START_VALIDATION" hidden="1">[25]Prices!$J$13</definedName>
    <definedName name="gls_START_WHAT" hidden="1">[25]Prices!$B$13</definedName>
    <definedName name="gls_START_YEAR" hidden="1">[25]Prices!$R$9</definedName>
    <definedName name="gls_StockTicker" hidden="1">[25]Prices!$D$20</definedName>
    <definedName name="gls_TEMP_PERIOD_CODE" hidden="1">[25]Prices!$O$1</definedName>
    <definedName name="gls_THISWORKBOOK_NAME" hidden="1">[25]Prices!$D$18</definedName>
    <definedName name="gls_UNUSUAL_POS" hidden="1">[25]Prices!$D$40</definedName>
    <definedName name="gls_USER_CELL_FORMAT" hidden="1">[25]Prices!$D$51</definedName>
    <definedName name="gls_USING_CONSOLIDATED" hidden="1">[25]Prices!$D$34</definedName>
    <definedName name="gls_YEAR_AE_CONTROL" hidden="1">[25]Prices!$O$6</definedName>
    <definedName name="gls_YEAR_END_ROW" hidden="1">[25]Prices!$P$11</definedName>
    <definedName name="gls_YetToRunStartupWizard" hidden="1">[25]Prices!$D$29</definedName>
    <definedName name="GRAPHS" localSheetId="3">#REF!</definedName>
    <definedName name="GRAPHS">#REF!</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hidden="1">{"Resultat",#N/A,TRUE,"Hovedtal";"Balance",#N/A,TRUE,"Hovedtal";"Cash_Flow",#N/A,TRUE,"Hovedtal"}</definedName>
    <definedName name="H" hidden="1">{#N/A,#N/A,TRUE,"Allacciamenti 5 anni";#N/A,#N/A,TRUE,"Carico 5 anni";#N/A,#N/A,TRUE,"Qualità a) 5 anni";#N/A,#N/A,TRUE,"Qualità b) 5 anni";#N/A,#N/A,TRUE,"Impatto ambientale 5 anni";#N/A,#N/A,TRUE,"Adeg. tecnico 5 anni"}</definedName>
    <definedName name="hdhgf" hidden="1">{"mgmt forecast",#N/A,FALSE,"Mgmt Forecast";"dcf table",#N/A,FALSE,"Mgmt Forecast";"sensitivity",#N/A,FALSE,"Mgmt Forecast";"table inputs",#N/A,FALSE,"Mgmt Forecast";"calculations",#N/A,FALSE,"Mgmt Forecast"}</definedName>
    <definedName name="helene" hidden="1">{"Side 1",#N/A,FALSE,"Hovedark";"Side 2",#N/A,FALSE,"Hovedark";"Cash Flow",#N/A,FALSE,"Hovedark";"Breakdown",#N/A,FALSE,"Breakdown";"Valuation",#N/A,FALSE,"Valuation";"Bidrag",#N/A,FALSE,"Bidrag"}</definedName>
    <definedName name="hg" hidden="1">{#N/A,#N/A,FALSE,"F-YLDS";#N/A,#N/A,FALSE,"ASP";#N/A,#N/A,FALSE,"FRPRD"}</definedName>
    <definedName name="hgdh" hidden="1">{"mgmt forecast",#N/A,FALSE,"Mgmt Forecast";"dcf table",#N/A,FALSE,"Mgmt Forecast";"sensitivity",#N/A,FALSE,"Mgmt Forecast";"table inputs",#N/A,FALSE,"Mgmt Forecast";"calculations",#N/A,FALSE,"Mgmt Forecast"}</definedName>
    <definedName name="HH"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hidden="1">{#N/A,#N/A,FALSE,"Table of Contents";#N/A,#N/A,FALSE,"Overview";#N/A,#N/A,FALSE,"Data"}</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[26]LTM!$G$840:$J$840,[26]LTM!$H$1266:$J$1266,[26]LTM!$G$1267:$J$1267,[26]LTM!$G$1454:$J$1461,[26]LTM!$J$1462,[26]LTM!$J$1463,[26]LTM!$G$1468:$J$1469,[26]LTM!$L$1469:$N$1469</definedName>
    <definedName name="hn.ConvertZeroUnhide1" hidden="1">[26]LTM!$G$1469:$J$1469,[26]LTM!$L$1469:$N$1469,[26]LTM!$H$1266:$J$1266</definedName>
    <definedName name="hn.Delete015" hidden="1">'[26]CREDIT STATS'!$B$9:$K$11,'[26]CREDIT STATS'!$O$11:$X$14,'[26]CREDIT STATS'!$B$25:$K$30,'[26]CREDIT STATS'!$O$25:$X$26</definedName>
    <definedName name="hn.DZ_MultByFXRates" hidden="1">[26]DropZone!$B$2:$I$118,[26]DropZone!$B$120:$I$132,[26]DropZone!$B$134:$I$136,[26]DropZone!$B$138:$I$146</definedName>
    <definedName name="hn.ExtDb" hidden="1">FALSE</definedName>
    <definedName name="hn.LTM_MultByFXRates" hidden="1">[26]LTM!$G$461:$N$477,[26]LTM!$G$480:$N$539,[26]LTM!$G$548:$N$667,[26]LTM!$G$676:$N$1266,[26]LTM!$G$1454:$N$1461,[26]LTM!$G$1463:$N$1465,[26]LTM!$G$1468:$N$1469</definedName>
    <definedName name="hn.ModelType" hidden="1">"DEAL"</definedName>
    <definedName name="hn.ModelVersion" hidden="1">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 hidden="1">0</definedName>
    <definedName name="HOME" hidden="1">{#N/A,#N/A,FALSE,"Assessment";#N/A,#N/A,FALSE,"Staffing";#N/A,#N/A,FALSE,"Hires";#N/A,#N/A,FALSE,"Assumptions"}</definedName>
    <definedName name="HOMFE" hidden="1">{#N/A,#N/A,FALSE,"Assessment";#N/A,#N/A,FALSE,"Staffing";#N/A,#N/A,FALSE,"Hires";#N/A,#N/A,FALSE,"Assumptions"}</definedName>
    <definedName name="Hours">[5]Input!$H$95</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hidden="1">{"Aar",#N/A,FALSE,"Divisioner";"Kvartaler",#N/A,FALSE,"Divisioner";"Aggregering",#N/A,FALSE,"Divisioner";"Aar",#N/A,FALSE,"Norge div. (gl)";"Kvartal",#N/A,FALSE,"Norge div. (gl)";"Samling",#N/A,FALSE,"Norge div. (gl)"}</definedName>
    <definedName name="i" hidden="1">{#N/A,#N/A,FALSE,"F-YLDS";#N/A,#N/A,FALSE,"ASP";#N/A,#N/A,FALSE,"FRPRD"}</definedName>
    <definedName name="iii" hidden="1">{#N/A,#N/A,TRUE,"Allacciamenti 5 anni";#N/A,#N/A,TRUE,"Carico 5 anni";#N/A,#N/A,TRUE,"Qualità a) 5 anni";#N/A,#N/A,TRUE,"Qualità b) 5 anni";#N/A,#N/A,TRUE,"Impatto ambientale 5 anni";#N/A,#N/A,TRUE,"Adeg. tecnico 5 anni"}</definedName>
    <definedName name="ik" hidden="1">{#N/A,#N/A,FALSE,"FRPRD"}</definedName>
    <definedName name="imp" localSheetId="3">[0]!Foglio1</definedName>
    <definedName name="imp">[0]!Foglio1</definedName>
    <definedName name="impianti" localSheetId="3">[0]!Foglio1</definedName>
    <definedName name="impianti">[0]!Foglio1</definedName>
    <definedName name="impianti2" localSheetId="3">[0]!Foglio1</definedName>
    <definedName name="impianti2">[0]!Foglio1</definedName>
    <definedName name="IMPIANTI3" localSheetId="3">[0]!Foglio1</definedName>
    <definedName name="IMPIANTI3">[0]!Foglio1</definedName>
    <definedName name="Impiegati" localSheetId="3">#REF!</definedName>
    <definedName name="Impiegati">#REF!</definedName>
    <definedName name="Impiegati1997">[19]Impiegati_Anno_Precedente!$B$1:$BK$224</definedName>
    <definedName name="Implicit_DE">[11]Sens!$B$213</definedName>
    <definedName name="Implicit_Ke">[11]Sens!$B$211</definedName>
    <definedName name="Implicit_WACC">[11]Sens!$B$200</definedName>
    <definedName name="imposta_sostitutiva" localSheetId="3">#REF!</definedName>
    <definedName name="imposta_sostitutiva">#REF!</definedName>
    <definedName name="INDEX" localSheetId="3">#REF!</definedName>
    <definedName name="INDEX">#REF!</definedName>
    <definedName name="Inflation">[21]Operation!$J$172:$CE$172</definedName>
    <definedName name="InflationIndices">[8]Economic_Assumptions!$C$29:$AB$35</definedName>
    <definedName name="ingrid" hidden="1">{"Side 1",#N/A,FALSE,"Hovedark";"Side 2",#N/A,FALSE,"Hovedark";"Side 3",#N/A,FALSE,"Hovedark"}</definedName>
    <definedName name="Int_Copy" localSheetId="3">#REF!</definedName>
    <definedName name="Int_Copy">#REF!</definedName>
    <definedName name="Int_Paste" localSheetId="3">#REF!</definedName>
    <definedName name="Int_Paste">#REF!</definedName>
    <definedName name="Integrate">OFFSET('[13]All Suppliers'!$A$1,0,0,COUNTA('[13]All Suppliers'!$A:$A),COUNTA('[13]All Suppliers'!$1:$1))</definedName>
    <definedName name="Interconnection_Fee">[27]Results!$K$8</definedName>
    <definedName name="interpower" localSheetId="3">#REF!</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[11]Sens!$D$112</definedName>
    <definedName name="IRR_without_management_fee">[11]Sens!$D$118</definedName>
    <definedName name="IsColHidden" hidden="1">FALSE</definedName>
    <definedName name="IsLTMColHidden" hidden="1">FALSE</definedName>
    <definedName name="j" hidden="1">{#N/A,#N/A,FALSE,"FRPRD"}</definedName>
    <definedName name="jc" hidden="1">{#N/A,#N/A,FALSE,"FRPRD"}</definedName>
    <definedName name="jhc" hidden="1">{#N/A,#N/A,FALSE,"F-YLDS";#N/A,#N/A,FALSE,"ASP";#N/A,#N/A,FALSE,"FRPRD"}</definedName>
    <definedName name="jhjkk78" hidden="1">{#N/A,#N/A,FALSE,"Table of Contents";#N/A,#N/A,FALSE,"Overview";#N/A,#N/A,FALSE,"Data"}</definedName>
    <definedName name="jjj" hidden="1">{"IS",#N/A,FALSE,"IS";"RPTIS",#N/A,FALSE,"RPTIS";"STATS",#N/A,FALSE,"STATS";"CELL",#N/A,FALSE,"CELL";"BS",#N/A,FALSE,"BS"}</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 localSheetId="3">'[6]Learning curve parameters'!#REF!</definedName>
    <definedName name="k_other_com">'[6]Learning curve parameters'!#REF!</definedName>
    <definedName name="k_other_uti" localSheetId="3">'[6]Learning curve parameters'!#REF!</definedName>
    <definedName name="k_other_uti">'[6]Learning curve parameters'!#REF!</definedName>
    <definedName name="K2_WBEVMODE" hidden="1">-1</definedName>
    <definedName name="kjk7i" hidden="1">{#N/A,#N/A,FALSE,"Table of Contents";#N/A,#N/A,FALSE,"Overview";#N/A,#N/A,FALSE,"Data"}</definedName>
    <definedName name="KKK" hidden="1">{#N/A,#N/A,FALSE,"Assessment";#N/A,#N/A,FALSE,"Staffing";#N/A,#N/A,FALSE,"Hires";#N/A,#N/A,FALSE,"Assumptions"}</definedName>
    <definedName name="kkkk" hidden="1">{"coverall",#N/A,FALSE,"Definitions";"cover1",#N/A,FALSE,"Definitions";"cover2",#N/A,FALSE,"Definitions";"cover3",#N/A,FALSE,"Definitions";"cover4",#N/A,FALSE,"Definitions";"cover5",#N/A,FALSE,"Definitions";"blank",#N/A,FALSE,"Definitions"}</definedName>
    <definedName name="l" hidden="1">{#N/A,#N/A,TRUE,"Allacciamenti 5 anni";#N/A,#N/A,TRUE,"Carico 5 anni";#N/A,#N/A,TRUE,"Qualità a) 5 anni";#N/A,#N/A,TRUE,"Qualità b) 5 anni";#N/A,#N/A,TRUE,"Impatto ambientale 5 anni";#N/A,#N/A,TRUE,"Adeg. tecnico 5 anni"}</definedName>
    <definedName name="Last_Row" localSheetId="3">IF('Reference emissions BATT'!Values_Entered,Header_Row+'Reference emissions BATT'!Number_of_Payments,Header_Row)</definedName>
    <definedName name="Last_Row">IF(Values_Entered,Header_Row+Number_of_Payments,Header_Row)</definedName>
    <definedName name="LC_Copy" localSheetId="3">#REF!</definedName>
    <definedName name="LC_Copy">#REF!</definedName>
    <definedName name="LC_Paste" localSheetId="3">#REF!</definedName>
    <definedName name="LC_Paste">#REF!</definedName>
    <definedName name="Leverage">[27]Sens!$C$25</definedName>
    <definedName name="lffml98" hidden="1">{#N/A,#N/A,FALSE,"Table of Contents";#N/A,#N/A,FALSE,"Overview";#N/A,#N/A,FALSE,"Data"}</definedName>
    <definedName name="lhjku78" hidden="1">{#N/A,#N/A,FALSE,"Table of Contents";#N/A,#N/A,FALSE,"Overview";#N/A,#N/A,FALSE,"Data"}</definedName>
    <definedName name="lifetime">[6]LCOE!$C$7</definedName>
    <definedName name="Limit">[28]Inputs!$J$5</definedName>
    <definedName name="LionDataSheetRange">'[29]ELSA - Data Sheet'!$A$1:$AA$53,'[29]ELSA - Data Sheet'!$AB$57:$BA$100,'[29]ELSA - Data Sheet'!$BB$101:$CD$155</definedName>
    <definedName name="ListOffset" hidden="1">1</definedName>
    <definedName name="liyugt" hidden="1">{"Side 1",#N/A,FALSE,"Hovedark";"Valuation",#N/A,FALSE,"Valuation";"Side 2",#N/A,FALSE,"Hovedark";"Cash Flow",#N/A,FALSE,"Hovedark";"Bidrag",#N/A,FALSE,"Bidrag"}</definedName>
    <definedName name="lll" hidden="1">{"Area1",#N/A,TRUE,"Obiettivo";"Area2",#N/A,TRUE,"Dati per Direzione"}</definedName>
    <definedName name="lllf" hidden="1">{#N/A,#N/A,FALSE,"ORIX CSC"}</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hidden="1">{#N/A,#N/A,FALSE,"Table of Contents";#N/A,#N/A,FALSE,"Overview";#N/A,#N/A,FALSE,"Data"}</definedName>
    <definedName name="m" hidden="1">{#N/A,#N/A,FALSE,"F-YLDS";#N/A,#N/A,FALSE,"ASP";#N/A,#N/A,FALSE,"FRPRD"}</definedName>
    <definedName name="MACROS" localSheetId="3">#REF!</definedName>
    <definedName name="MACROS">#REF!</definedName>
    <definedName name="maggio" hidden="1">{"Area1",#N/A,TRUE,"Obiettivo";"Area2",#N/A,TRUE,"Dati per Direzione"}</definedName>
    <definedName name="Mensile1" localSheetId="3">#REF!</definedName>
    <definedName name="Mensile1">#REF!</definedName>
    <definedName name="Mensile2" localSheetId="3">#REF!</definedName>
    <definedName name="Mensile2">#REF!</definedName>
    <definedName name="mercato" localSheetId="3">#REF!</definedName>
    <definedName name="mercato">#REF!</definedName>
    <definedName name="MESEEEE" localSheetId="3">[0]!Foglio1</definedName>
    <definedName name="MESEEEE">[0]!Foglio1</definedName>
    <definedName name="Min_DSCR_Value">[27]Sens!$C$71</definedName>
    <definedName name="Min_Tesoreria">10</definedName>
    <definedName name="Minimum_Equity_Ratio">'[5]Uses and Funds'!$L$19</definedName>
    <definedName name="MJJ" hidden="1">{"Area1",#N/A,TRUE,"Obiettivo";"Area2",#N/A,TRUE,"Dati per Direzione"}</definedName>
    <definedName name="mm" localSheetId="3">OFFSET(Full_Print,0,0,[0]!xx)</definedName>
    <definedName name="mm">OFFSET(Full_Print,0,0,xx)</definedName>
    <definedName name="mmmm" hidden="1">{#N/A,#N/A,TRUE,"Allacciamenti 5 anni";#N/A,#N/A,TRUE,"Carico 5 anni";#N/A,#N/A,TRUE,"Qualità a) 5 anni";#N/A,#N/A,TRUE,"Qualità b) 5 anni";#N/A,#N/A,TRUE,"Impatto ambientale 5 anni";#N/A,#N/A,TRUE,"Adeg. tecnico 5 anni"}</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'[19]Stampa di controllo_AC'!$A$1:$AZ$28</definedName>
    <definedName name="Motorola_Label_2" hidden="1">[14]GSChartLabels!$C$1:$C$7</definedName>
    <definedName name="msarrrr" hidden="1">{#N/A,#N/A,TRUE,"Allacciamenti 5 anni";#N/A,#N/A,TRUE,"Carico 5 anni";#N/A,#N/A,TRUE,"Qualità a) 5 anni";#N/A,#N/A,TRUE,"Qualità b) 5 anni";#N/A,#N/A,TRUE,"Impatto ambientale 5 anni";#N/A,#N/A,TRUE,"Adeg. tecnico 5 anni"}</definedName>
    <definedName name="myDialog">"dial"</definedName>
    <definedName name="MyList" localSheetId="3">#REF!</definedName>
    <definedName name="MyList">#REF!</definedName>
    <definedName name="n" hidden="1">{#N/A,#N/A,TRUE,"Allacciamenti 5 anni";#N/A,#N/A,TRUE,"Carico 5 anni";#N/A,#N/A,TRUE,"Qualità a) 5 anni";#N/A,#N/A,TRUE,"Qualità b) 5 anni";#N/A,#N/A,TRUE,"Impatto ambientale 5 anni";#N/A,#N/A,TRUE,"Adeg. tecnico 5 anni"}</definedName>
    <definedName name="names">#N/A</definedName>
    <definedName name="newbel" hidden="1">{"IS",#N/A,FALSE,"IS";"RPTIS",#N/A,FALSE,"RPTIS";"STATS",#N/A,FALSE,"STATS";"CELL",#N/A,FALSE,"CELL";"BS",#N/A,FALSE,"BS"}</definedName>
    <definedName name="NewMatrix" localSheetId="3">#REF!</definedName>
    <definedName name="NewMatrix">#REF!</definedName>
    <definedName name="NEWwrn.ALL"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[30]References!$C$50</definedName>
    <definedName name="Nota1" localSheetId="3">#REF!</definedName>
    <definedName name="Nota1">#REF!</definedName>
    <definedName name="Nota3" localSheetId="3">#REF!</definedName>
    <definedName name="Nota3">#REF!</definedName>
    <definedName name="NPV">[11]Sens!$D$123</definedName>
    <definedName name="Number_of_Payments" localSheetId="3">MATCH(0.01,End_Bal,-1)+1</definedName>
    <definedName name="Number_of_Payments">MATCH(0.01,End_Bal,-1)+1</definedName>
    <definedName name="Nuova_Griffe_1" localSheetId="3">#REF!</definedName>
    <definedName name="Nuova_Griffe_1">#REF!</definedName>
    <definedName name="Nuova_Griffe_1__Estero" localSheetId="3">#REF!</definedName>
    <definedName name="Nuova_Griffe_1__Estero">#REF!</definedName>
    <definedName name="Nuova_Griffe_1__Italia" localSheetId="3">#REF!</definedName>
    <definedName name="Nuova_Griffe_1__Italia">#REF!</definedName>
    <definedName name="Nuova_Griffe_2" localSheetId="3">#REF!</definedName>
    <definedName name="Nuova_Griffe_2">#REF!</definedName>
    <definedName name="Nuova_Griffe_2__Estero" localSheetId="3">#REF!</definedName>
    <definedName name="Nuova_Griffe_2__Estero">#REF!</definedName>
    <definedName name="Nuova_Griffe_2_Italia" localSheetId="3">#REF!</definedName>
    <definedName name="Nuova_Griffe_2_Italia">#REF!</definedName>
    <definedName name="o" hidden="1">{#N/A,#N/A,FALSE,"FRPRD"}</definedName>
    <definedName name="OFA" localSheetId="3">#REF!</definedName>
    <definedName name="OFA">#REF!</definedName>
    <definedName name="oh" hidden="1">{"Area1",#N/A,TRUE,"Obiettivo";"Area2",#N/A,TRUE,"Dati per Direzione"}</definedName>
    <definedName name="ol" hidden="1">{#N/A,#N/A,FALSE,"F-YLDS";#N/A,#N/A,FALSE,"ASP";#N/A,#N/A,FALSE,"FRPRD"}</definedName>
    <definedName name="OM">[6]LCOE!$C$8</definedName>
    <definedName name="ooo" hidden="1">{#N/A,#N/A,TRUE,"Allacciamenti 5 anni";#N/A,#N/A,TRUE,"Carico 5 anni";#N/A,#N/A,TRUE,"Qualità a) 5 anni";#N/A,#N/A,TRUE,"Qualità b) 5 anni";#N/A,#N/A,TRUE,"Impatto ambientale 5 anni";#N/A,#N/A,TRUE,"Adeg. tecnico 5 anni"}</definedName>
    <definedName name="Operai" localSheetId="3">#REF!</definedName>
    <definedName name="Operai">#REF!</definedName>
    <definedName name="Operai1997">[19]Operai_Anno_Precedente!$B$1:$BK$224</definedName>
    <definedName name="Operation">[21]Operation!$J$41:$CE$41</definedName>
    <definedName name="Option_A_0_B_1">[31]About!$B$87</definedName>
    <definedName name="OutputEV">[32]Output!$H$18,[32]Output!$H$50:$H$51</definedName>
    <definedName name="OutputMarketCap">[32]Output!$G$18,[32]Output!$G$50:$G$51</definedName>
    <definedName name="p" hidden="1">{#N/A,#N/A,FALSE,"FRPRD"}</definedName>
    <definedName name="P2_LAT" hidden="1">{#N/A,#N/A,TRUE,"Allacciamenti 5 anni";#N/A,#N/A,TRUE,"Carico 5 anni";#N/A,#N/A,TRUE,"Qualità a) 5 anni";#N/A,#N/A,TRUE,"Qualità b) 5 anni";#N/A,#N/A,TRUE,"Impatto ambientale 5 anni";#N/A,#N/A,TRUE,"Adeg. tecnico 5 anni"}</definedName>
    <definedName name="Payment_Date" localSheetId="3">DATE(YEAR(Loan_Start),MONTH(Loan_Start)+Payment_Number,DAY(Loan_Start))</definedName>
    <definedName name="Payment_Date">DATE(YEAR(Loan_Start),MONTH(Loan_Start)+Payment_Number,DAY(Loan_Start))</definedName>
    <definedName name="Payment_Needed">"Pagamento richiesto"</definedName>
    <definedName name="Periodo">[19]Tabella_Intestazione!$A$2:$J$26</definedName>
    <definedName name="Peso_Agr">[33]database!$X$91</definedName>
    <definedName name="Peso_Centro">'[33]aree geogr'!$S$116</definedName>
    <definedName name="Peso_Costr">[33]database!$X$92</definedName>
    <definedName name="Peso_domestico">[33]database!$X$90</definedName>
    <definedName name="Peso_industria">[33]database!$X$88</definedName>
    <definedName name="Peso_Nord_EST">'[33]aree geogr'!$S$115</definedName>
    <definedName name="Peso_Nord_Ovest">'[33]aree geogr'!$S$114</definedName>
    <definedName name="Peso_servizi">[33]database!$X$89</definedName>
    <definedName name="Peso_Sud">'[33]aree geogr'!$S$117</definedName>
    <definedName name="pipp1" hidden="1">{#N/A,#N/A,TRUE,"Allacciamenti 5 anni";#N/A,#N/A,TRUE,"Carico 5 anni";#N/A,#N/A,TRUE,"Qualità a) 5 anni";#N/A,#N/A,TRUE,"Qualità b) 5 anni";#N/A,#N/A,TRUE,"Impatto ambientale 5 anni";#N/A,#N/A,TRUE,"Adeg. tecnico 5 anni"}</definedName>
    <definedName name="pippo" localSheetId="3">[0]!Foglio1</definedName>
    <definedName name="pippo">[0]!Foglio1</definedName>
    <definedName name="PIPPO1" hidden="1">{#N/A,#N/A,TRUE,"Allacciamenti 5 anni";#N/A,#N/A,TRUE,"Carico 5 anni";#N/A,#N/A,TRUE,"Qualità a) 5 anni";#N/A,#N/A,TRUE,"Qualità b) 5 anni";#N/A,#N/A,TRUE,"Impatto ambientale 5 anni";#N/A,#N/A,TRUE,"Adeg. tecnico 5 anni"}</definedName>
    <definedName name="pl" hidden="1">{#N/A,#N/A,FALSE,"FRPRD"}</definedName>
    <definedName name="poi" hidden="1">{"Area1",#N/A,TRUE,"Obiettivo";"Area2",#N/A,TRUE,"Dati per Direzione"}</definedName>
    <definedName name="Poly">OFFSET('[34]Poly Suppliers'!$A$1,0,0,COUNTA('[34]Poly Suppliers'!$A:$A),COUNTA('[34]Poly Suppliers'!$1:$1))</definedName>
    <definedName name="Poly_LOC">OFFSET('[34]Poly Suppliers - LOC'!$A$1,0,0,COUNTA('[34]Poly Suppliers - LOC'!$A:$A),COUNTA('[34]Poly Suppliers - LOC'!$1:$1))</definedName>
    <definedName name="polysilicon">OFFSET([35]VBA!$K$19, 0, 0, [35]VBA!$C$17)</definedName>
    <definedName name="por" hidden="1">{#N/A,#N/A,TRUE,"Assumptions";#N/A,#N/A,TRUE,"Op Projection";#N/A,#N/A,TRUE,"Capital";#N/A,#N/A,TRUE,"Income";#N/A,#N/A,TRUE,"Balance";#N/A,#N/A,TRUE,"Sources&amp;Uses"}</definedName>
    <definedName name="pox" hidden="1">{"Area1",#N/A,TRUE,"Obiettivo";"Area2",#N/A,TRUE,"Dati per Direzione"}</definedName>
    <definedName name="pp"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 localSheetId="3">#REF!</definedName>
    <definedName name="Principal_copy">#REF!</definedName>
    <definedName name="Principal_Error" localSheetId="3">#REF!</definedName>
    <definedName name="Principal_Error">#REF!</definedName>
    <definedName name="Principal_paste" localSheetId="3">#REF!</definedName>
    <definedName name="Principal_paste">#REF!</definedName>
    <definedName name="Print_Area_Reset" localSheetId="3">OFFSET(Full_Print,0,0,'Reference emissions BATT'!Last_Row)</definedName>
    <definedName name="Print_Area_Reset">OFFSET(Full_Print,0,0,Last_Row)</definedName>
    <definedName name="PrintAll.PrintAll" localSheetId="3">[36]!PrintAll.PrintAll</definedName>
    <definedName name="PrintAll.PrintAll">[36]!PrintAll.PrintAll</definedName>
    <definedName name="PrintAppendix">'[3]Business Plan'!$A$1:$M$52,'[3]Business Plan'!$A$55:$M$107,'[3]Business Plan'!$A$119:$M$119,'[3]Business Plan'!$A$241:$M$297</definedName>
    <definedName name="pro" localSheetId="3">#REF!</definedName>
    <definedName name="pro">#REF!</definedName>
    <definedName name="PROGETTI" hidden="1">{"Area1",#N/A,TRUE,"Obiettivo";"Area2",#N/A,TRUE,"Dati per Direzione"}</definedName>
    <definedName name="Project_Name">[11]Inputs!$C$8</definedName>
    <definedName name="Projects">[37]Revenues!$A$2:$A$7</definedName>
    <definedName name="prop_comm">'[6]Learning curve parameters'!$C$21</definedName>
    <definedName name="prop_resi">'[6]Learning curve parameters'!$C$30</definedName>
    <definedName name="prop_uti">'[6]Learning curve parameters'!$C$12</definedName>
    <definedName name="pvgrowth2012" localSheetId="3">'[6]System cost master'!#REF!</definedName>
    <definedName name="pvgrowth2012">'[6]System cost master'!#REF!</definedName>
    <definedName name="pvgrowth2017" localSheetId="3">'[6]System cost master'!#REF!</definedName>
    <definedName name="pvgrowth2017">'[6]System cost master'!#REF!</definedName>
    <definedName name="pvgrowth2020" localSheetId="3">'[6]System cost master'!#REF!</definedName>
    <definedName name="pvgrowth2020">'[6]System cost master'!#REF!</definedName>
    <definedName name="PVTYPE" localSheetId="3">'[38]Anglo American'!#REF!</definedName>
    <definedName name="PVTYPE">'[38]Anglo American'!#REF!</definedName>
    <definedName name="Pxx_for_sculpting">[11]Inputs!$I$129</definedName>
    <definedName name="q" hidden="1">{#N/A,#N/A,FALSE,"FRPRD"}</definedName>
    <definedName name="qa" hidden="1">{#N/A,#N/A,FALSE,"FRPRD"}</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 localSheetId="3">#REF!</definedName>
    <definedName name="Quadri">#REF!</definedName>
    <definedName name="Quadri1997">[19]Quadri_Anno_Precedente!$B$1:$BK$224</definedName>
    <definedName name="question" hidden="1">{#N/A,#N/A,TRUE,"Assumptions";#N/A,#N/A,TRUE,"Op Projection";#N/A,#N/A,TRUE,"Capital";#N/A,#N/A,TRUE,"Income";#N/A,#N/A,TRUE,"Balance";#N/A,#N/A,TRUE,"Sources&amp;Uses"}</definedName>
    <definedName name="qw" hidden="1">{#N/A,#N/A,FALSE,"F-YLDS";#N/A,#N/A,FALSE,"ASP";#N/A,#N/A,FALSE,"FRPRD"}</definedName>
    <definedName name="qwdcxa" hidden="1">{#N/A,#N/A,FALSE,"Report Print"}</definedName>
    <definedName name="qwdqwdqwd" hidden="1">{#N/A,#N/A,TRUE,"Allacciamenti 5 anni";#N/A,#N/A,TRUE,"Carico 5 anni";#N/A,#N/A,TRUE,"Qualità a) 5 anni";#N/A,#N/A,TRUE,"Qualità b) 5 anni";#N/A,#N/A,TRUE,"Impatto ambientale 5 anni";#N/A,#N/A,TRUE,"Adeg. tecnico 5 anni"}</definedName>
    <definedName name="qwer" hidden="1">{#N/A,#N/A,TRUE,"Assumptions";#N/A,#N/A,TRUE,"Op Projection";#N/A,#N/A,TRUE,"Capital";#N/A,#N/A,TRUE,"Income";#N/A,#N/A,TRUE,"Balance";#N/A,#N/A,TRUE,"Sources&amp;Uses"}</definedName>
    <definedName name="qwqqqq" hidden="1">{"IS",#N/A,FALSE,"IS";"RPTIS",#N/A,FALSE,"RPTIS";"STATS",#N/A,FALSE,"STATS";"BS",#N/A,FALSE,"BS"}</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[5]Operation!$J$960:$BM$960</definedName>
    <definedName name="Reimbursement_paste">[5]Operation!$J$961:$BM$961</definedName>
    <definedName name="Reimbursement_Period">[21]Operation!$J$285:$CE$285</definedName>
    <definedName name="ReplacementRates" localSheetId="3">#REF!</definedName>
    <definedName name="ReplacementRates">#REF!</definedName>
    <definedName name="ReplacementRatesChina" localSheetId="3">#REF!</definedName>
    <definedName name="ReplacementRatesChina">#REF!</definedName>
    <definedName name="reqwr" hidden="1">{"IS",#N/A,FALSE,"IS";"RPTIS",#N/A,FALSE,"RPTIS";"STATS",#N/A,FALSE,"STATS";"CELL",#N/A,FALSE,"CELL";"BS",#N/A,FALSE,"BS"}</definedName>
    <definedName name="resources" hidden="1">{#N/A,#N/A,FALSE,"Assessment";#N/A,#N/A,FALSE,"Staffing";#N/A,#N/A,FALSE,"Hires";#N/A,#N/A,FALSE,"Assumptions"}</definedName>
    <definedName name="REtrVarIMPCFL">'[19]RetrVar-Imp-CFL'!$E$1:$AY$102</definedName>
    <definedName name="REtrVarImpiegati">'[19]RetrVar-Impiegati'!$E$1:$AY$102</definedName>
    <definedName name="REtrVarOpeCFL">'[19]RetrVar-Op-CFL'!$E$1:$AY$102</definedName>
    <definedName name="REtrVarOperai">'[19]RetrVar-Operai'!$E$1:$AY$102</definedName>
    <definedName name="REtrVarQuadri">'[19]RetrVar-Quadri'!$E$1:$AY$102</definedName>
    <definedName name="rf" hidden="1">{#N/A,#N/A,FALSE,"F-YLDS";#N/A,#N/A,FALSE,"ASP";#N/A,#N/A,FALSE,"FRPRD"}</definedName>
    <definedName name="rfree" localSheetId="3">#REF!</definedName>
    <definedName name="rfree">#REF!</definedName>
    <definedName name="rho" localSheetId="3">#REF!</definedName>
    <definedName name="rho">#REF!</definedName>
    <definedName name="RIC_LkWh" localSheetId="3">#REF!</definedName>
    <definedName name="RIC_LkWh">#REF!</definedName>
    <definedName name="rider2">'[39]EV Schedule'!$B$8:$B$39,'[39]EV Schedule'!$W$6:$W$39,'[39]EV Schedule'!$BB$6:$BC$39,'[39]EV Schedule'!$BE$4:$BN$39</definedName>
    <definedName name="riepilTotale">[19]RiepilogoTotale!$B$1:$Z$120</definedName>
    <definedName name="RiskCollectDistributionSamples">2</definedName>
    <definedName name="RiskCorrelationSheet" localSheetId="3">#REF!</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OFFSET([40]Ref!$D$50, 0, 0, [40]Ref!$D$48)</definedName>
    <definedName name="rng_VBA_Formats">OFFSET([41]VBA!$K$21, 0, 0, [41]VBA!$C$19)</definedName>
    <definedName name="rng_VBA_LineStyles">OFFSET([41]VBA!$L$21, 0, 0, [41]VBA!$C$19)</definedName>
    <definedName name="rng_VBA_Names">OFFSET([41]VBA!$B$21:$I$21, 0, 0, [41]VBA!$C$19)</definedName>
    <definedName name="rome_2">'[39]EV Schedule'!$B$4:$B$29,'[39]EV Schedule'!$AA$4:$AI$29</definedName>
    <definedName name="Rounding" localSheetId="3">#REF!</definedName>
    <definedName name="Rounding">#REF!</definedName>
    <definedName name="rqrq" hidden="1">{"test2",#N/A,TRUE,"Prices"}</definedName>
    <definedName name="rrr" hidden="1">{#N/A,#N/A,TRUE,"Allacciamenti 5 anni";#N/A,#N/A,TRUE,"Carico 5 anni";#N/A,#N/A,TRUE,"Qualità a) 5 anni";#N/A,#N/A,TRUE,"Qualità b) 5 anni";#N/A,#N/A,TRUE,"Impatto ambientale 5 anni";#N/A,#N/A,TRUE,"Adeg. tecnico 5 anni"}</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'[42]Fin Assum'!$F$417</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hidden="1">{"Tariff Comparison",#N/A,FALSE,"Benchmarking";"Tariff Comparison 2",#N/A,FALSE,"Benchmarking";"Tariff Comparison 3",#N/A,FALSE,"Benchmarking"}</definedName>
    <definedName name="Scenarios">[5]Scenarios!$J$18:$V$18</definedName>
    <definedName name="sd" hidden="1">{#N/A,#N/A,FALSE,"F-YLDS";#N/A,#N/A,FALSE,"ASP";#N/A,#N/A,FALSE,"FRPRD"}</definedName>
    <definedName name="sda" hidden="1">{"'Finale (2)'!$A$2:$C$3"}</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hidden="1">{#N/A,#N/A,TRUE,"Allacciamenti 5 anni";#N/A,#N/A,TRUE,"Carico 5 anni";#N/A,#N/A,TRUE,"Qualità a) 5 anni";#N/A,#N/A,TRUE,"Qualità b) 5 anni";#N/A,#N/A,TRUE,"Impatto ambientale 5 anni";#N/A,#N/A,TRUE,"Adeg. tecnico 5 anni"}</definedName>
    <definedName name="se" hidden="1">{#N/A,#N/A,FALSE,"A&amp;E";#N/A,#N/A,FALSE,"HighTop";#N/A,#N/A,FALSE,"JG";#N/A,#N/A,FALSE,"RI";#N/A,#N/A,FALSE,"woHT";#N/A,#N/A,FALSE,"woHT&amp;JG"}</definedName>
    <definedName name="sencount" hidden="1">1</definedName>
    <definedName name="Senior_debt_drawdown_copy" localSheetId="3">#REF!</definedName>
    <definedName name="Senior_debt_drawdown_copy">#REF!</definedName>
    <definedName name="Senior_Debt_Drawdown_Copy_Values" localSheetId="3">#REF!</definedName>
    <definedName name="Senior_Debt_Drawdown_Copy_Values">#REF!</definedName>
    <definedName name="Senior_debt_drawdown_paste" localSheetId="3">#REF!</definedName>
    <definedName name="Senior_debt_drawdown_paste">#REF!</definedName>
    <definedName name="Senior_Debt_effective_repayments" localSheetId="3">#REF!</definedName>
    <definedName name="Senior_Debt_effective_repayments">#REF!</definedName>
    <definedName name="Senior_Debt_Repayment_Copy" localSheetId="3">#REF!</definedName>
    <definedName name="Senior_Debt_Repayment_Copy">#REF!</definedName>
    <definedName name="Senior_debt_repayment_copy_values" localSheetId="3">#REF!</definedName>
    <definedName name="Senior_debt_repayment_copy_values">#REF!</definedName>
    <definedName name="Senior_Debt_Repayment_Paste" localSheetId="3">#REF!</definedName>
    <definedName name="Senior_Debt_Repayment_Paste">#REF!</definedName>
    <definedName name="Senior_debt_repayment_pasted_values" localSheetId="3">#REF!</definedName>
    <definedName name="Senior_debt_repayment_pasted_values">#REF!</definedName>
    <definedName name="Sesse2" localSheetId="3">#REF!</definedName>
    <definedName name="Sesse2">#REF!</definedName>
    <definedName name="Set">" "</definedName>
    <definedName name="Sh_loan_check">[22]Calculations_!$E$42</definedName>
    <definedName name="Shareholders_loan">[5]Construction!$J$250:$EK$250</definedName>
    <definedName name="Shareholders_loan_paste">[5]Construction!$J$251:$EK$251</definedName>
    <definedName name="Shares" localSheetId="3">#REF!</definedName>
    <definedName name="Shares">#REF!</definedName>
    <definedName name="Shock_Opex">[5]Input!$H$169</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 localSheetId="3">#REF!</definedName>
    <definedName name="SOCIETA_____..">#REF!</definedName>
    <definedName name="solver_num">0</definedName>
    <definedName name="solver_typ">1</definedName>
    <definedName name="solver_val">0</definedName>
    <definedName name="SP_AL">[43]Parametri!$B$34</definedName>
    <definedName name="SP_BB">[43]Parametri!$B$41</definedName>
    <definedName name="SP_IL">[43]Parametri!$B$35</definedName>
    <definedName name="SP_KI">[43]Parametri!$B$38</definedName>
    <definedName name="SP_KU">[43]Parametri!$B$39</definedName>
    <definedName name="SP_MU">[43]Parametri!$B$40</definedName>
    <definedName name="SP_SB">[43]Parametri!$B$36</definedName>
    <definedName name="SP_ZU">[43]Parametri!$B$37</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[27]Results!$K$12</definedName>
    <definedName name="SpreadsheetBuilder_1" localSheetId="3" hidden="1">#REF!</definedName>
    <definedName name="SpreadsheetBuilder_1" hidden="1">#REF!</definedName>
    <definedName name="SpreadsheetBuilder_2" localSheetId="3" hidden="1">#REF!</definedName>
    <definedName name="SpreadsheetBuilder_2" hidden="1">#REF!</definedName>
    <definedName name="SpreadsheetBuilder_3" localSheetId="3" hidden="1">#REF!</definedName>
    <definedName name="SpreadsheetBuilder_3" hidden="1">#REF!</definedName>
    <definedName name="SpreadsheetBuilder_5" localSheetId="3" hidden="1">#REF!</definedName>
    <definedName name="SpreadsheetBuilder_5" hidden="1">#REF!</definedName>
    <definedName name="SPWS_WBID">"B2585B84-6E8E-4272-A3B6-C15F842D8C9F"</definedName>
    <definedName name="ss"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hidden="1">{"IS",#N/A,FALSE,"IS";"RPTIS",#N/A,FALSE,"RPTIS";"STATS",#N/A,FALSE,"STATS";"BS",#N/A,FALSE,"BS"}</definedName>
    <definedName name="staffing2" hidden="1">{#N/A,#N/A,FALSE,"Assessment";#N/A,#N/A,FALSE,"Staffing";#N/A,#N/A,FALSE,"Hires";#N/A,#N/A,FALSE,"Assumptions"}</definedName>
    <definedName name="Staffing3" hidden="1">{#N/A,#N/A,FALSE,"Assessment";#N/A,#N/A,FALSE,"Staffing";#N/A,#N/A,FALSE,"Hires";#N/A,#N/A,FALSE,"Assumptions"}</definedName>
    <definedName name="str" hidden="1">{"summary1",#N/A,TRUE,"Comps";"summary2",#N/A,TRUE,"Comps";"summary3",#N/A,TRUE,"Comps"}</definedName>
    <definedName name="straord">'[19]Stampa di controllo_AC'!$E$6:$J$25</definedName>
    <definedName name="Stub" hidden="1">[26]MAIN!$I$11</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[28]Summary!$A$3:$P$127</definedName>
    <definedName name="Summ_Table_GD">[28]Summary!$D$3:$D$127</definedName>
    <definedName name="Summ_Table_Header">[28]Summary!$A$3:$P$3</definedName>
    <definedName name="sw" hidden="1">{"test2",#N/A,TRUE,"Prices"}</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hidden="1">{#N/A,#N/A,FALSE,"FRPRD"}</definedName>
    <definedName name="table1">'[39]EV Schedule'!$B$4:$B$47,'[39]EV Schedule'!$C$4,'[39]EV Schedule'!$E$6:$E$48,'[39]EV Schedule'!$U$6:$U$47,'[39]EV Schedule'!$W$4:$Y$6,'[39]EV Schedule'!$X$6,'[39]EV Schedule'!$W$6:$X$47</definedName>
    <definedName name="table2">'[39]EV Schedule'!$B$4:$B$39,'[39]EV Schedule'!$BB$6:$BB$39,'[39]EV Schedule'!$BC$6:$BC$39,'[39]EV Schedule'!$W$6:$W$39</definedName>
    <definedName name="table3">'[39]EV Schedule'!$B$4:$B$39,'[39]EV Schedule'!$BB$6:$BB$48,'[39]EV Schedule'!$W$6:$W$39,'[39]EV Schedule'!$BM$6:$BM$39</definedName>
    <definedName name="TC000_AGO" localSheetId="3">#REF!</definedName>
    <definedName name="TC000_AGO">#REF!</definedName>
    <definedName name="TC000_APR" localSheetId="3">#REF!</definedName>
    <definedName name="TC000_APR">#REF!</definedName>
    <definedName name="TC000_DIC" localSheetId="3">#REF!</definedName>
    <definedName name="TC000_DIC">#REF!</definedName>
    <definedName name="TC000_FEB" localSheetId="3">#REF!</definedName>
    <definedName name="TC000_FEB">#REF!</definedName>
    <definedName name="TC000_GEN" localSheetId="3">#REF!</definedName>
    <definedName name="TC000_GEN">#REF!</definedName>
    <definedName name="TC000_GIU" localSheetId="3">#REF!</definedName>
    <definedName name="TC000_GIU">#REF!</definedName>
    <definedName name="TC000_LUG" localSheetId="3">#REF!</definedName>
    <definedName name="TC000_LUG">#REF!</definedName>
    <definedName name="TC000_MAG" localSheetId="3">#REF!</definedName>
    <definedName name="TC000_MAG">#REF!</definedName>
    <definedName name="TC000_MAR" localSheetId="3">#REF!</definedName>
    <definedName name="TC000_MAR">#REF!</definedName>
    <definedName name="TC000_NOV" localSheetId="3">#REF!</definedName>
    <definedName name="TC000_NOV">#REF!</definedName>
    <definedName name="TC000_OTT" localSheetId="3">#REF!</definedName>
    <definedName name="TC000_OTT">#REF!</definedName>
    <definedName name="TC000_SET" localSheetId="3">#REF!</definedName>
    <definedName name="TC000_SET">#REF!</definedName>
    <definedName name="TCBS_AGO" localSheetId="3">#REF!</definedName>
    <definedName name="TCBS_AGO">#REF!</definedName>
    <definedName name="TCBS_APR" localSheetId="3">#REF!</definedName>
    <definedName name="TCBS_APR">#REF!</definedName>
    <definedName name="TCBS_DIC" localSheetId="3">#REF!</definedName>
    <definedName name="TCBS_DIC">#REF!</definedName>
    <definedName name="TCBS_GIU" localSheetId="3">#REF!</definedName>
    <definedName name="TCBS_GIU">#REF!</definedName>
    <definedName name="TCBS_LUG" localSheetId="3">#REF!</definedName>
    <definedName name="TCBS_LUG">#REF!</definedName>
    <definedName name="TCBS_MAG" localSheetId="3">#REF!</definedName>
    <definedName name="TCBS_MAG">#REF!</definedName>
    <definedName name="TCBS_NOV" localSheetId="3">#REF!</definedName>
    <definedName name="TCBS_NOV">#REF!</definedName>
    <definedName name="TCBS_OTT" localSheetId="3">#REF!</definedName>
    <definedName name="TCBS_OTT">#REF!</definedName>
    <definedName name="TCBS_SET" localSheetId="3">#REF!</definedName>
    <definedName name="TCBS_SET">#REF!</definedName>
    <definedName name="TE000_AGO" localSheetId="3">#REF!</definedName>
    <definedName name="TE000_AGO">#REF!</definedName>
    <definedName name="TE000_APR" localSheetId="3">#REF!</definedName>
    <definedName name="TE000_APR">#REF!</definedName>
    <definedName name="TE000_DIC" localSheetId="3">#REF!</definedName>
    <definedName name="TE000_DIC">#REF!</definedName>
    <definedName name="TE000_FEB" localSheetId="3">#REF!</definedName>
    <definedName name="TE000_FEB">#REF!</definedName>
    <definedName name="TE000_GEN" localSheetId="3">#REF!</definedName>
    <definedName name="TE000_GEN">#REF!</definedName>
    <definedName name="TE000_GIU" localSheetId="3">#REF!</definedName>
    <definedName name="TE000_GIU">#REF!</definedName>
    <definedName name="TE000_LUG" localSheetId="3">#REF!</definedName>
    <definedName name="TE000_LUG">#REF!</definedName>
    <definedName name="TE000_MAG" localSheetId="3">#REF!</definedName>
    <definedName name="TE000_MAG">#REF!</definedName>
    <definedName name="TE000_MAR" localSheetId="3">#REF!</definedName>
    <definedName name="TE000_MAR">#REF!</definedName>
    <definedName name="TE000_NOV" localSheetId="3">#REF!</definedName>
    <definedName name="TE000_NOV">#REF!</definedName>
    <definedName name="TE000_OTT" localSheetId="3">#REF!</definedName>
    <definedName name="TE000_OTT">#REF!</definedName>
    <definedName name="TE000_SET" localSheetId="3">#REF!</definedName>
    <definedName name="TE000_SET">#REF!</definedName>
    <definedName name="TEBS_AGO" localSheetId="3">#REF!</definedName>
    <definedName name="TEBS_AGO">#REF!</definedName>
    <definedName name="TEBS_APR" localSheetId="3">#REF!</definedName>
    <definedName name="TEBS_APR">#REF!</definedName>
    <definedName name="TEBS_DIC" localSheetId="3">#REF!</definedName>
    <definedName name="TEBS_DIC">#REF!</definedName>
    <definedName name="TEBS_GIU" localSheetId="3">#REF!</definedName>
    <definedName name="TEBS_GIU">#REF!</definedName>
    <definedName name="TEBS_LUG" localSheetId="3">#REF!</definedName>
    <definedName name="TEBS_LUG">#REF!</definedName>
    <definedName name="TEBS_MAG" localSheetId="3">#REF!</definedName>
    <definedName name="TEBS_MAG">#REF!</definedName>
    <definedName name="TEBS_NOV" localSheetId="3">#REF!</definedName>
    <definedName name="TEBS_NOV">#REF!</definedName>
    <definedName name="TEBS_OTT" localSheetId="3">#REF!</definedName>
    <definedName name="TEBS_OTT">#REF!</definedName>
    <definedName name="TEBS_SET" localSheetId="3">#REF!</definedName>
    <definedName name="TEBS_SET">#REF!</definedName>
    <definedName name="Temp_2" hidden="1">{#N/A,#N/A,FALSE,"Assessment";#N/A,#N/A,FALSE,"Staffing";#N/A,#N/A,FALSE,"Hires";#N/A,#N/A,FALSE,"Assumptions"}</definedName>
    <definedName name="Temp_3" hidden="1">{#N/A,#N/A,FALSE,"Assessment";#N/A,#N/A,FALSE,"Staffing";#N/A,#N/A,FALSE,"Hires";#N/A,#N/A,FALSE,"Assumptions"}</definedName>
    <definedName name="terna" localSheetId="3">#REF!</definedName>
    <definedName name="terna">#REF!</definedName>
    <definedName name="TestAdd">"Test RefersTo1"</definedName>
    <definedName name="testo">'[44]0'!$C$275</definedName>
    <definedName name="tfr_ret" localSheetId="3">#REF!</definedName>
    <definedName name="tfr_ret">#REF!</definedName>
    <definedName name="tg" hidden="1">{#N/A,#N/A,FALSE,"FRPRD"}</definedName>
    <definedName name="Th">[45]Inputs!$C$273</definedName>
    <definedName name="Tipologia" localSheetId="3">#REF!</definedName>
    <definedName name="Tipologia">#REF!</definedName>
    <definedName name="tlc" localSheetId="3">#REF!</definedName>
    <definedName name="tlc">#REF!</definedName>
    <definedName name="TM000_AGO" localSheetId="3">#REF!</definedName>
    <definedName name="TM000_AGO">#REF!</definedName>
    <definedName name="TM000_APR" localSheetId="3">#REF!</definedName>
    <definedName name="TM000_APR">#REF!</definedName>
    <definedName name="TM000_DIC" localSheetId="3">#REF!</definedName>
    <definedName name="TM000_DIC">#REF!</definedName>
    <definedName name="TM000_FEB" localSheetId="3">#REF!</definedName>
    <definedName name="TM000_FEB">#REF!</definedName>
    <definedName name="TM000_GEN" localSheetId="3">#REF!</definedName>
    <definedName name="TM000_GEN">#REF!</definedName>
    <definedName name="TM000_GIU" localSheetId="3">#REF!</definedName>
    <definedName name="TM000_GIU">#REF!</definedName>
    <definedName name="TM000_LUG" localSheetId="3">#REF!</definedName>
    <definedName name="TM000_LUG">#REF!</definedName>
    <definedName name="TM000_MAG" localSheetId="3">#REF!</definedName>
    <definedName name="TM000_MAG">#REF!</definedName>
    <definedName name="TM000_MAR" localSheetId="3">#REF!</definedName>
    <definedName name="TM000_MAR">#REF!</definedName>
    <definedName name="TM000_NOV" localSheetId="3">#REF!</definedName>
    <definedName name="TM000_NOV">#REF!</definedName>
    <definedName name="TM000_OTT" localSheetId="3">#REF!</definedName>
    <definedName name="TM000_OTT">#REF!</definedName>
    <definedName name="TM000_SET" localSheetId="3">#REF!</definedName>
    <definedName name="TM000_SET">#REF!</definedName>
    <definedName name="TMBS_AGO" localSheetId="3">#REF!</definedName>
    <definedName name="TMBS_AGO">#REF!</definedName>
    <definedName name="TMBS_APR" localSheetId="3">#REF!</definedName>
    <definedName name="TMBS_APR">#REF!</definedName>
    <definedName name="TMBS_DIC" localSheetId="3">#REF!</definedName>
    <definedName name="TMBS_DIC">#REF!</definedName>
    <definedName name="TMBS_GIU" localSheetId="3">#REF!</definedName>
    <definedName name="TMBS_GIU">#REF!</definedName>
    <definedName name="TMBS_LUG" localSheetId="3">#REF!</definedName>
    <definedName name="TMBS_LUG">#REF!</definedName>
    <definedName name="TMBS_MAG" localSheetId="3">#REF!</definedName>
    <definedName name="TMBS_MAG">#REF!</definedName>
    <definedName name="TMBS_NOV" localSheetId="3">#REF!</definedName>
    <definedName name="TMBS_NOV">#REF!</definedName>
    <definedName name="TMBS_OTT" localSheetId="3">#REF!</definedName>
    <definedName name="TMBS_OTT">#REF!</definedName>
    <definedName name="TMBS_SET" localSheetId="3">#REF!</definedName>
    <definedName name="TMBS_SET">#REF!</definedName>
    <definedName name="Tolerance">[5]Audit!$H$48</definedName>
    <definedName name="TOTAL_IN"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[11]Inputs!$D$104</definedName>
    <definedName name="Total_Senior_Debt_Perc">[11]Inputs!$G$104</definedName>
    <definedName name="Totale1997">[19]Totale_Anno_Precedente!$B$1:$BK$214</definedName>
    <definedName name="TotaleAC">[19]CostoTotale!$B$1:$BM$235</definedName>
    <definedName name="TotaleAP" localSheetId="3">#REF!</definedName>
    <definedName name="TotaleAP">#REF!</definedName>
    <definedName name="Tranche_I_repayment_profile_Manual">[11]Calculations!$J$268:$AN$268</definedName>
    <definedName name="Trial" localSheetId="3" hidden="1">'[46]Sensitivity analysis'!#REF!</definedName>
    <definedName name="Trial" hidden="1">'[46]Sensitivity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hidden="1">{#N/A,#N/A,TRUE,"Allacciamenti 5 anni";#N/A,#N/A,TRUE,"Carico 5 anni";#N/A,#N/A,TRUE,"Qualità a) 5 anni";#N/A,#N/A,TRUE,"Qualità b) 5 anni";#N/A,#N/A,TRUE,"Impatto ambientale 5 anni";#N/A,#N/A,TRUE,"Adeg. tecnico 5 anni"}</definedName>
    <definedName name="tttt" hidden="1">{"Area1",#N/A,TRUE,"Obiettivo";"Area2",#N/A,TRUE,"Dati per Direzione"}</definedName>
    <definedName name="ttttt" hidden="1">{"Area1",#N/A,TRUE,"Obiettivo";"Area2",#N/A,TRUE,"Dati per Direzione"}</definedName>
    <definedName name="u" hidden="1">{#N/A,#N/A,TRUE,"Allacciamenti 5 anni";#N/A,#N/A,TRUE,"Carico 5 anni";#N/A,#N/A,TRUE,"Qualità a) 5 anni";#N/A,#N/A,TRUE,"Qualità b) 5 anni";#N/A,#N/A,TRUE,"Impatto ambientale 5 anni";#N/A,#N/A,TRUE,"Adeg. tecnico 5 anni"}</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 localSheetId="3">#REF!</definedName>
    <definedName name="USD_EUR">#REF!</definedName>
    <definedName name="uu" hidden="1">{#N/A,#N/A,TRUE,"Allacciamenti 5 anni";#N/A,#N/A,TRUE,"Carico 5 anni";#N/A,#N/A,TRUE,"Qualità a) 5 anni";#N/A,#N/A,TRUE,"Qualità b) 5 anni";#N/A,#N/A,TRUE,"Impatto ambientale 5 anni";#N/A,#N/A,TRUE,"Adeg. tecnico 5 anni"}</definedName>
    <definedName name="v" hidden="1">{#N/A,#N/A,FALSE,"F-YLDS";#N/A,#N/A,FALSE,"ASP";#N/A,#N/A,FALSE,"FRPRD"}</definedName>
    <definedName name="vall" hidden="1">{"mgmt forecast",#N/A,FALSE,"Mgmt Forecast";"dcf table",#N/A,FALSE,"Mgmt Forecast";"sensitivity",#N/A,FALSE,"Mgmt Forecast";"table inputs",#N/A,FALSE,"Mgmt Forecast";"calculations",#N/A,FALSE,"Mgmt Forecast"}</definedName>
    <definedName name="Values_Entered" localSheetId="3">IF(Loan_Amount*Interest_Rate*Loan_Years*Loan_Start&gt;0,1,0)</definedName>
    <definedName name="Values_Entered">IF(Loan_Amount*Interest_Rate*Loan_Years*Loan_Start&gt;0,1,0)</definedName>
    <definedName name="van">[30]Sens!$D$121</definedName>
    <definedName name="VBAdvanced.VB_Branch_Example">#N/A</definedName>
    <definedName name="VBAdvanced.VB_GetWindowsDirectory">#N/A</definedName>
    <definedName name="vcxb" hidden="1">{#N/A,#N/A,FALSE,"Table of Contents";#N/A,#N/A,FALSE,"Overview";#N/A,#N/A,FALSE,"Data"}</definedName>
    <definedName name="VOLUMI" localSheetId="3">#REF!</definedName>
    <definedName name="VOLUMI">#REF!</definedName>
    <definedName name="VR" hidden="1">{#N/A,#N/A,FALSE,"F-YLDS";#N/A,#N/A,FALSE,"ASP";#N/A,#N/A,FALSE,"FRPRD"}</definedName>
    <definedName name="vrr" hidden="1">{#N/A,#N/A,FALSE,"FRPRD"}</definedName>
    <definedName name="VV"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hidden="1">{#N/A,#N/A,FALSE,"FRPRD"}</definedName>
    <definedName name="wrn.ALL." hidden="1">{#N/A,#N/A,FALSE,"DCF";#N/A,#N/A,FALSE,"WACC";#N/A,#N/A,FALSE,"Sales_EBIT";#N/A,#N/A,FALSE,"Capex_Depreciation";#N/A,#N/A,FALSE,"WC";#N/A,#N/A,FALSE,"Interest";#N/A,#N/A,FALSE,"Assumptions"}</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hidden="1">{#N/A,#N/A,TRUE,"Assumptions";#N/A,#N/A,TRUE,"Op Projection";#N/A,#N/A,TRUE,"Capital";#N/A,#N/A,TRUE,"Income";#N/A,#N/A,TRUE,"Balance";#N/A,#N/A,TRUE,"Sources&amp;Uses"}</definedName>
    <definedName name="wrn.ALL.Ge" hidden="1">{#N/A,#N/A,FALSE,"DCF";#N/A,#N/A,FALSE,"WACC";#N/A,#N/A,FALSE,"Sales_EBIT";#N/A,#N/A,FALSE,"Capex_Depreciation";#N/A,#N/A,FALSE,"WC";#N/A,#N/A,FALSE,"Interest";#N/A,#N/A,FALSE,"Assumptions"}</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hidden="1">{#N/A,#N/A,FALSE,"Sheet1"}</definedName>
    <definedName name="wrn.annualpll." hidden="1">{#N/A,#N/A,FALSE,"Sheet1"}</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hidden="1">{"Back Page",#N/A,FALSE,"Front and Back"}</definedName>
    <definedName name="wrn.Back._.Page." hidden="1">{"Back Page",#N/A,FALSE,"Front and Back"}</definedName>
    <definedName name="wrn.Balance._.Sheets." hidden="1">{"BS",#N/A,FALSE,"BUDGET";"BS ENA",#N/A,FALSE,"BUDGET";"BS TS Holdings",#N/A,FALSE,"BUDGET";"BS Elim Entries",#N/A,FALSE,"BUDGET";"BS Finance",#N/A,FALSE,"BUDGET";"BS Acq",#N/A,FALSE,"BUDGET";"BS Acq II",#N/A,FALSE,"BUDGET"}</definedName>
    <definedName name="wrn.BalanceSheetGermanGAAP2000_2009." hidden="1">{"BSGGAAP1",#N/A,FALSE,"P&amp;L G GAAP"}</definedName>
    <definedName name="wrn.BalanceSheetGermanGAAP2010_2019." hidden="1">{"BSGGAAP2",#N/A,FALSE,"BS G GAAP"}</definedName>
    <definedName name="wrn.BalanceSheetUSGAAP2000_2009." hidden="1">{"BSUSGAAP1",#N/A,FALSE,"BS US GAAP"}</definedName>
    <definedName name="wrn.BalanceSheetUSGAAP2010_2019." hidden="1">{"BSUSGAAP2",#N/A,FALSE,"BS US GAAP"}</definedName>
    <definedName name="wrn.BEL." hidden="1">{"IS",#N/A,FALSE,"IS";"RPTIS",#N/A,FALSE,"RPTIS";"STATS",#N/A,FALSE,"STATS";"CELL",#N/A,FALSE,"CELL";"BS",#N/A,FALSE,"BS"}</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hidden="1">{"Capex1",#N/A,FALSE,"Capex"}</definedName>
    <definedName name="wrn.Capex2." hidden="1">{"Capex2",#N/A,FALSE,"Capex"}</definedName>
    <definedName name="wrn.Capex3." hidden="1">{"Capex3",#N/A,FALSE,"Capex"}</definedName>
    <definedName name="wrn.CashFlowGermanGAAP2000_2009." hidden="1">{"CFGGAAP1a",#N/A,FALSE,"CF G GAAP"}</definedName>
    <definedName name="wrn.CashFlowGermanGAAP2010_2019." hidden="1">{"CFGGAAP2a",#N/A,FALSE,"CF G GAAP"}</definedName>
    <definedName name="wrn.CashFlowUSGAAP2000_2009." hidden="1">{"CFUSGAAP1a",#N/A,FALSE,"CF US GAAP"}</definedName>
    <definedName name="wrn.CashFlowUSGAAP2009_2019." hidden="1">{"CFUSGAAP2a",#N/A,FALSE,"CF US GAAP"}</definedName>
    <definedName name="wrn.Central." hidden="1">{"Side 1",#N/A,FALSE,"Hovedark";"Side 2",#N/A,FALSE,"Hovedark";"Side 3",#N/A,FALSE,"Hovedark"}</definedName>
    <definedName name="wrn.CFGGAAPMSDW." hidden="1">{"CFGGAAP1",#N/A,FALSE,"P&amp;L G GAAP";"CFGGAAP2",#N/A,FALSE,"P&amp;L G GAAP"}</definedName>
    <definedName name="wrn.comps." hidden="1">{#N/A,#N/A,FALSE,"Comp"}</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ahl." hidden="1">{"Resultat",#N/A,TRUE,"Hovedtal";"Balance",#N/A,TRUE,"Hovedtal";"Cash_Flow",#N/A,TRUE,"Hovedtal"}</definedName>
    <definedName name="wrn.database." hidden="1">{"subs",#N/A,FALSE,"database ";"proportional",#N/A,FALSE,"database "}</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hidden="1">{"DebtGGAAP1",#N/A,FALSE,"P&amp;L G GAAP"}</definedName>
    <definedName name="wrn.DebtGermanGAAP2010_2019." hidden="1">{"DebtGGAAP2",#N/A,FALSE,"P&amp;L G GAAP"}</definedName>
    <definedName name="wrn.DebtUSGAAP2000_2009." hidden="1">{"DebtUSGAAP1",#N/A,FALSE,"P&amp;L US GAAP"}</definedName>
    <definedName name="wrn.DebtUSGAAP2010_2019." hidden="1">{"DebtUSGAAP2",#N/A,FALSE,"P&amp;L US GAAP"}</definedName>
    <definedName name="wrn.Detailed._.P._.and._.L." hidden="1">{"P and L Detail Page 1",#N/A,FALSE,"Data";"P and L Detail Page 2",#N/A,FALSE,"Data"}</definedName>
    <definedName name="wrn.DLH_hele." hidden="1">{"Side 1",#N/A,FALSE,"Hovedark";"Side 2",#N/A,FALSE,"Hovedark";"Cash Flow",#N/A,FALSE,"Hovedark";"Breakdown",#N/A,FALSE,"Breakdown";"Valuation",#N/A,FALSE,"Valuation";"Bidrag",#N/A,FALSE,"Bidrag"}</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hidden="1">{"Employee Efficiency",#N/A,FALSE,"Benchmarking"}</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hidden="1">{"P and L",#N/A,FALSE,"Financial Output";"Cashflow",#N/A,FALSE,"Financial Output";"Balance Sheet",#N/A,FALSE,"Financial Output"}</definedName>
    <definedName name="wrn.finmodel." hidden="1">{#N/A,#N/A,FALSE,"Fin Model"}</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hidden="1">{"Five Year Record",#N/A,FALSE,"Front and Back"}</definedName>
    <definedName name="wrn.Flugger." hidden="1">{"Res_og_nøgle",#N/A,FALSE,"Hovedark";"Balance",#N/A,FALSE,"Hovedark";"Bagside_DK",#N/A,FALSE,"Bagside"}</definedName>
    <definedName name="wrn.Front._.Page." hidden="1">{"Front Page",#N/A,FALSE,"Front and Back"}</definedName>
    <definedName name="wrn.Front_Page." hidden="1">{"Front_Page",#N/A,FALSE,"Front Page"}</definedName>
    <definedName name="wrn.frprd." hidden="1">{#N/A,#N/A,FALSE,"FRPRD"}</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hidden="1">{#N/A,#N/A,FALSE,"GenAssump"}</definedName>
    <definedName name="wrn.Geographic._.Trends." hidden="1">{"Geographic P1",#N/A,FALSE,"Division &amp; Geog"}</definedName>
    <definedName name="wrn.GRF_1." hidden="1">{"VISTA_1",#N/A,FALSE,"GRAFO"}</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hidden="1">{#N/A,#N/A,FALSE,"Report Print"}</definedName>
    <definedName name="wrn.Income._.statements." hidden="1">{"P&amp;L",#N/A,FALSE,"BUDGET";"PL ENA",#N/A,FALSE,"BUDGET";"PL TS Holdings",#N/A,FALSE,"BUDGET";"PL Finance",#N/A,FALSE,"BUDGET";"PL Elim Entries",#N/A,FALSE,"BUDGET";"PL Acq",#N/A,FALSE,"BUDGET";"PL Acq II",#N/A,FALSE,"BUDGET"}</definedName>
    <definedName name="wrn.Informes." hidden="1">{#N/A,#N/A,FALSE,"CN Oficial RESUMIDA EXCanon";#N/A,#N/A,FALSE,"CN Oficial";#N/A,#N/A,FALSE,"CA Oficial";#N/A,#N/A,FALSE,"PLANTILLA";#N/A,#N/A,FALSE,"BAL";#N/A,#N/A,FALSE,"PT_Finanzas";#N/A,#N/A,FALSE,"INVERSIONES BIEN"}</definedName>
    <definedName name="wrn.international." hidden="1">{"sweden",#N/A,FALSE,"Sweden";"germany",#N/A,FALSE,"Germany";"portugal",#N/A,FALSE,"Portugal";"belgium",#N/A,FALSE,"Belgium";"japan",#N/A,FALSE,"Japan ";"italy",#N/A,FALSE,"Italy";"spain",#N/A,FALSE,"Spain";"korea",#N/A,FALSE,"Korea"}</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hidden="1">{"Line Efficiency",#N/A,FALSE,"Benchmarking"}</definedName>
    <definedName name="wrn.mario" hidden="1">{"Area1",#N/A,TRUE,"Obiettivo";"Area2",#N/A,TRUE,"Dati per Direzione"}</definedName>
    <definedName name="wrn.Mario." hidden="1">{"Area1",#N/A,TRUE,"Obiettivo";"Area2",#N/A,TRUE,"Dati per Direzione"}</definedName>
    <definedName name="wrn.old" hidden="1">{#N/A,#N/A,FALSE,"DCF";#N/A,#N/A,FALSE,"WACC";#N/A,#N/A,FALSE,"Sales_EBIT";#N/A,#N/A,FALSE,"Capex_Depreciation";#N/A,#N/A,FALSE,"WC";#N/A,#N/A,FALSE,"Interest";#N/A,#N/A,FALSE,"Assumptions"}</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hidden="1">{#N/A,#N/A,FALSE,"COPERTINA"}</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hidden="1">{#N/A,#N/A,TRUE,"Allacciamenti 5 anni";#N/A,#N/A,TRUE,"Carico 5 anni";#N/A,#N/A,TRUE,"Qualità a) 5 anni";#N/A,#N/A,TRUE,"Qualità b) 5 anni";#N/A,#N/A,TRUE,"Impatto ambientale 5 anni";#N/A,#N/A,TRUE,"Adeg. tecnico 5 anni"}</definedName>
    <definedName name="wrn.pip." hidden="1">{"Aar",#N/A,FALSE,"Divisioner";"Kvartaler",#N/A,FALSE,"Divisioner";"Aggregering",#N/A,FALSE,"Divisioner";"Aar",#N/A,FALSE,"Norge div. (gl)";"Kvartal",#N/A,FALSE,"Norge div. (gl)";"Samling",#N/A,FALSE,"Norge div. (gl)"}</definedName>
    <definedName name="wrn.PL_cont_GermanGAAP2000_2009." hidden="1">{"PLGGAAP3",#N/A,FALSE,"P&amp;L G GAAP"}</definedName>
    <definedName name="wrn.PL_cont_GermanGAAP2010_2019." hidden="1">{"PLGGAAP4",#N/A,FALSE,"P&amp;L G GAAP"}</definedName>
    <definedName name="wrn.PL_cont_USGAAP2000_2009." hidden="1">{"PLUSGAAP3",#N/A,FALSE,"P&amp;L US GAAP"}</definedName>
    <definedName name="wrn.PL_cont_USGAAP2010_2019." hidden="1">{"PLUSGAAP4",#N/A,FALSE,"P&amp;L US GAAP"}</definedName>
    <definedName name="wrn.PLGermanGAAP2000_2009." hidden="1">{"PLGGAAP1",#N/A,FALSE,"P&amp;L G GAAP"}</definedName>
    <definedName name="wrn.PLGermanGAAP2010_2019." hidden="1">{"PLGGAAP2",#N/A,FALSE,"P&amp;L G GAAP"}</definedName>
    <definedName name="wrn.PLUSGAAP2000_2009." hidden="1">{"PLUSGAAP1",#N/A,FALSE,"P&amp;L US GAAP"}</definedName>
    <definedName name="wrn.PLUSGAAP2010_2019." hidden="1">{"PLUSGAAP2",#N/A,FALSE,"P&amp;L US GAAP"}</definedName>
    <definedName name="wrn.PriceAssump2000_2009." hidden="1">{"PriceAssump1",#N/A,FALSE,"PriceAssump"}</definedName>
    <definedName name="wrn.PriceAssump2010_2019." hidden="1">{"PriceAssump2",#N/A,FALSE,"PriceAssump"}</definedName>
    <definedName name="wrn.PrimeCo." hidden="1">{"print 1",#N/A,FALSE,"PrimeCo PCS";"print 2",#N/A,FALSE,"PrimeCo PCS";"valuation",#N/A,FALSE,"PrimeCo PCS"}</definedName>
    <definedName name="wrn.print._.graphs." hidden="1">{"cap_structure",#N/A,FALSE,"Graph-Mkt Cap";"price",#N/A,FALSE,"Graph-Price";"ebit",#N/A,FALSE,"Graph-EBITDA";"ebitda",#N/A,FALSE,"Graph-EBITDA"}</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hidden="1">{#N/A,#N/A,FALSE,"Spain MKT";#N/A,#N/A,FALSE,"Assumptions";#N/A,#N/A,FALSE,"Adve";#N/A,#N/A,FALSE,"E-Commerce";#N/A,#N/A,FALSE,"Opex";#N/A,#N/A,FALSE,"P&amp;L";#N/A,#N/A,FALSE,"FCF &amp; DCF"}</definedName>
    <definedName name="wrn.print._.raw._.data._.entry." hidden="1">{"inputs raw data",#N/A,TRUE,"INPUT"}</definedName>
    <definedName name="wrn.print._.standalone." hidden="1">{"standalone1",#N/A,FALSE,"DCFBase";"standalone2",#N/A,FALSE,"DCFBase"}</definedName>
    <definedName name="wrn.print._.summary._.sheets." hidden="1">{"summary1",#N/A,TRUE,"Comps";"summary2",#N/A,TRUE,"Comps";"summary3",#N/A,TRUE,"Comps"}</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hidden="1">{"ProdAssump1_2000_2009",#N/A,FALSE,"ProdAssump"}</definedName>
    <definedName name="wrn.ProdAssump11_2000_2009." hidden="1">{"ProdAssump11_2000_2009",#N/A,FALSE,"ProdAssump"}</definedName>
    <definedName name="wrn.ProdAssump11_2009_2019." hidden="1">{"ProdAssump11_2009_2019",#N/A,FALSE,"ProdAssump"}</definedName>
    <definedName name="wrn.ProdAssump12_2010_2019." hidden="1">{"ProdAssump12_2010_2019",#N/A,FALSE,"ProdAssump"}</definedName>
    <definedName name="wrn.ProdAssump13_2000_2009." hidden="1">{"ProdAssump13_2000_2009",#N/A,FALSE,"ProdAssump"}</definedName>
    <definedName name="wrn.ProdAssump14_2010_2019." hidden="1">{"ProdAssump14_2010_2019",#N/A,FALSE,"ProdAssump"}</definedName>
    <definedName name="wrn.ProdAssump15_2000_2009." hidden="1">{"ProdAssump15_2000_2009",#N/A,FALSE,"ProdAssump"}</definedName>
    <definedName name="wrn.ProdAssump16_2010_2019." hidden="1">{"ProdAssump16_2010_2019",#N/A,FALSE,"ProdAssump"}</definedName>
    <definedName name="wrn.ProdAssump2_2010_2019." hidden="1">{"ProdAssump2_2010_2019",#N/A,FALSE,"ProdAssump"}</definedName>
    <definedName name="wrn.ProdAssump3_2000_2009." hidden="1">{"ProdAssump3_2000_2009",#N/A,FALSE,"ProdAssump"}</definedName>
    <definedName name="wrn.ProdAssump4_2010_2019." hidden="1">{"ProdAssump4_2010_2019",#N/A,FALSE,"ProdAssump"}</definedName>
    <definedName name="wrn.ProdAssump5_2000_2009." hidden="1">{"ProdAssump5_2000_2009",#N/A,FALSE,"ProdAssump"}</definedName>
    <definedName name="wrn.ProdAssump6_2010_2019." hidden="1">{"ProdAssump6_2010_2019",#N/A,FALSE,"ProdAssump"}</definedName>
    <definedName name="wrn.ProdAssump7_2000_2009." hidden="1">{"ProdAssump7_2000_2009",#N/A,FALSE,"ProdAssump"}</definedName>
    <definedName name="wrn.ProdAssump8_2010_2019." hidden="1">{"ProdAssump8_2010_2019",#N/A,FALSE,"ProdAssump"}</definedName>
    <definedName name="wrn.ProdAssump9_2009_2009." hidden="1">{"ProdAssump9_2000_2009",#N/A,FALSE,"ProdAssump"}</definedName>
    <definedName name="wrn.ProdAssumpTotal2000_2009." hidden="1">{"ProdAssumpTotal1",#N/A,FALSE,"ProdAssump"}</definedName>
    <definedName name="wrn.ProdAssumpTotal2010_2019." hidden="1">{"ProdAssumpTotal2",#N/A,FALSE,"ProdAssump"}</definedName>
    <definedName name="wrn.ProdQuantities1_2000_2009." hidden="1">{"ProdQuantities1_2000_2009",#N/A,FALSE,"ProdQuantities"}</definedName>
    <definedName name="wrn.ProdQuantities10_2010_2019." hidden="1">{"ProdQuantities10_2010_2019",#N/A,FALSE,"ProdQuantities"}</definedName>
    <definedName name="wrn.ProdQuantities11_2000_2009." hidden="1">{"ProdQuantities11_2000_2009",#N/A,FALSE,"ProdQuantities"}</definedName>
    <definedName name="wrn.ProdQuantities12_2010_2019." hidden="1">{"ProdQuantities12_2010_2019",#N/A,FALSE,"ProdQuantities"}</definedName>
    <definedName name="wrn.ProdQuantities2_2010_2019." hidden="1">{"ProdQuantities2_2010_2019",#N/A,FALSE,"ProdQuantities"}</definedName>
    <definedName name="wrn.ProdQuantities3_2000_2009." hidden="1">{"ProdQuantities3_2000_2009",#N/A,FALSE,"ProdQuantities"}</definedName>
    <definedName name="wrn.ProdQuantities5_2000_2009." hidden="1">{"ProdQuantities5_2000_2009",#N/A,FALSE,"ProdQuantities"}</definedName>
    <definedName name="wrn.ProdQuantities6_2000_2009." hidden="1">{"ProdQuantities6_2010_2019",#N/A,FALSE,"ProdQuantities"}</definedName>
    <definedName name="wrn.ProdQuantities7_2000_2009." hidden="1">{"ProdQuantities7_2000_2009",#N/A,FALSE,"ProdQuantities"}</definedName>
    <definedName name="wrn.ProdQuantities8_2010_2019." hidden="1">{"ProdQuantities8_2010_2019",#N/A,FALSE,"ProdQuantities"}</definedName>
    <definedName name="wrn.ProdQuantities9_2000_2009." hidden="1">{"ProdQuantities9_2000_2009",#N/A,FALSE,"ProdQuantities"}</definedName>
    <definedName name="wrn.ProdQuantitiesTotal2000_2009." hidden="1">{"ProdQuantitiesTotal2000_2009",#N/A,FALSE,"ProdQuantities"}</definedName>
    <definedName name="wrn.ProdQuantitiesTotal2010_2019." hidden="1">{"ProdQuantitiesTotal2010_2019",#N/A,FALSE,"ProdQuantities"}</definedName>
    <definedName name="wrn.report." hidden="1">{#N/A,#N/A,FALSE,"Front Sheet";#N/A,#N/A,FALSE,"Profit and Loss";#N/A,#N/A,FALSE,"Balance Sheet";#N/A,#N/A,FALSE,"Cashflow";#N/A,#N/A,FALSE,"Debt and Cred";#N/A,#N/A,FALSE,"Debt Statement";#N/A,#N/A,FALSE,"Tax Computation"}</definedName>
    <definedName name="wrn.Short._.Form._.Print._.Out." hidden="1">{#N/A,#N/A,FALSE,"General Assumptions";#N/A,#N/A,FALSE,"Accounts";#N/A,#N/A,FALSE,"OperatingAssumptions";#N/A,#N/A,FALSE,"Cashflow";#N/A,#N/A,FALSE,"Debt";#N/A,#N/A,FALSE,"Ops Summary";#N/A,#N/A,FALSE,"Summary"}</definedName>
    <definedName name="wrn.Shut_Down." hidden="1">{#N/A,#N/A,FALSE,"Shut-down"}</definedName>
    <definedName name="wrn.SKSCS1." hidden="1">{#N/A,#N/A,FALSE,"Antony Financials";#N/A,#N/A,FALSE,"Cowboy Financials";#N/A,#N/A,FALSE,"Combined";#N/A,#N/A,FALSE,"Valuematrix";#N/A,#N/A,FALSE,"DCFAntony";#N/A,#N/A,FALSE,"DCFCowboy";#N/A,#N/A,FALSE,"DCFCombined"}</definedName>
    <definedName name="wrn.Staffing." hidden="1">{#N/A,#N/A,FALSE,"Assessment";#N/A,#N/A,FALSE,"Staffing";#N/A,#N/A,FALSE,"Hires";#N/A,#N/A,FALSE,"Assumptions"}</definedName>
    <definedName name="wrn.Staffing1" hidden="1">{#N/A,#N/A,FALSE,"Assessment";#N/A,#N/A,FALSE,"Staffing";#N/A,#N/A,FALSE,"Hires";#N/A,#N/A,FALSE,"Assumptions"}</definedName>
    <definedName name="wrn.Summary." hidden="1">{"Summary",#N/A,FALSE,"Summary"}</definedName>
    <definedName name="wrn.SummaryPgs." hidden="1">{#N/A,#N/A,FALSE,"CreditStat";#N/A,#N/A,FALSE,"SPbrkup";#N/A,#N/A,FALSE,"MerSPsyn";#N/A,#N/A,FALSE,"MerSPwKCsyn";#N/A,#N/A,FALSE,"MerSPwKCsyn (2)";#N/A,#N/A,FALSE,"CreditStat (2)"}</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Temp." hidden="1">{"Side 1",#N/A,FALSE,"Hovedark";"Valuation",#N/A,FALSE,"Valuation";"Side 2",#N/A,FALSE,"Hovedark";"Cash Flow",#N/A,FALSE,"Hovedark";"Bidrag",#N/A,FALSE,"Bidrag"}</definedName>
    <definedName name="wrn.test." hidden="1">{"test2",#N/A,TRUE,"Prices"}</definedName>
    <definedName name="wrn.Total." hidden="1">{"BS total PS",#N/A,FALSE,"BUDGET";"PL Total PS",#N/A,FALSE,"BUDGET";"BS Summit",#N/A,FALSE,"BUDGET";"PL Summit",#N/A,FALSE,"BUDGET";"BS PS-2",#N/A,FALSE,"BUDGET";"PL PS -2",#N/A,FALSE,"BUDGET";"BS elims",#N/A,FALSE,"BUDGET";"PL Elims",#N/A,FALSE,"BUDGET"}</definedName>
    <definedName name="wrn.Total._.Informes." hidden="1">{#N/A,#N/A,FALSE,"CA";#N/A,#N/A,FALSE,"CN";#N/A,#N/A,FALSE,"Inv";#N/A,#N/A,FALSE,"Inv Acc";"Miguel_balance",#N/A,FALSE,"Bal";#N/A,#N/A,FALSE,"Plantilla";#N/A,#N/A,FALSE,"CA (2)";#N/A,#N/A,FALSE,"CN (2)"}</definedName>
    <definedName name="wrn.Total._.PS." hidden="1">{"BS Total PS",#N/A,FALSE,"BUDGET";"PL total PS",#N/A,FALSE,"BUDGET";"BS CPS Ark",#N/A,FALSE,"BUDGET";"PL CPS Ark",#N/A,FALSE,"BUDGET";"CPS G&amp;A",#N/A,FALSE,"BUDGET";"PL CPS G&amp;A",#N/A,FALSE,"BUDGET";"CPS elims",#N/A,FALSE,"BUDGET";"PL CPS Elims",#N/A,FALSE,"BUDGET"}</definedName>
    <definedName name="wrn.Tweety." hidden="1">{#N/A,#N/A,FALSE,"A&amp;E";#N/A,#N/A,FALSE,"HighTop";#N/A,#N/A,FALSE,"JG";#N/A,#N/A,FALSE,"RI";#N/A,#N/A,FALSE,"woHT";#N/A,#N/A,FALSE,"woHT&amp;JG"}</definedName>
    <definedName name="wrn.USW." hidden="1">{"IS",#N/A,FALSE,"IS";"RPTIS",#N/A,FALSE,"RPTIS";"STATS",#N/A,FALSE,"STATS";"BS",#N/A,FALSE,"BS"}</definedName>
    <definedName name="wrn.WorkingCapGermanGAAP2000_2009." hidden="1">{"WCGGAAP1",#N/A,FALSE,"P&amp;L G GAAP"}</definedName>
    <definedName name="wrn.WorkingCapGermanGAAP2010_2019." hidden="1">{"WCGGAAP2",#N/A,FALSE,"P&amp;L G GAAP"}</definedName>
    <definedName name="wrn.WorkingCapUSGAAP2000_2009." hidden="1">{"WCUSGAAP1",#N/A,FALSE,"P&amp;L US GAAP"}</definedName>
    <definedName name="wrn.WorkingCapUSGAAP2010_2019." hidden="1">{"WCUSGAAP2",#N/A,FALSE,"P&amp;L US GAAP"}</definedName>
    <definedName name="wrn.WSTS._.Trade._.Statistics." hidden="1">{#N/A,#N/A,FALSE,"Table of Contents";#N/A,#N/A,FALSE,"Overview";#N/A,#N/A,FALSE,"Data"}</definedName>
    <definedName name="wrn.ylds." hidden="1">{#N/A,#N/A,FALSE,"F-YLDS";#N/A,#N/A,FALSE,"ASP";#N/A,#N/A,FALSE,"FRPRD"}</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hidden="1">{#N/A,#N/A,FALSE,"F-YLDS";#N/A,#N/A,FALSE,"ASP";#N/A,#N/A,FALSE,"FRPRD"}</definedName>
    <definedName name="WTGs" localSheetId="3">#REF!</definedName>
    <definedName name="WTGs">#REF!</definedName>
    <definedName name="WTGs_Barile" localSheetId="3">#REF!</definedName>
    <definedName name="WTGs_Barile">#REF!</definedName>
    <definedName name="WTGs_Oxara" localSheetId="3">#REF!</definedName>
    <definedName name="WTGs_Oxara">#REF!</definedName>
    <definedName name="WTGs_Sorgente" localSheetId="3">#REF!</definedName>
    <definedName name="WTGs_Sorgente">#REF!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3">OFFSET(Full_Print,0,0,[0]!xx)</definedName>
    <definedName name="ww">OFFSET(Full_Print,0,0,xx)</definedName>
    <definedName name="www"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localSheetId="3" hidden="1">#REF!</definedName>
    <definedName name="x" hidden="1">#REF!</definedName>
    <definedName name="xs" hidden="1">{#N/A,#N/A,FALSE,"F-YLDS";#N/A,#N/A,FALSE,"ASP";#N/A,#N/A,FALSE,"FRPRD"}</definedName>
    <definedName name="xx">#N/A</definedName>
    <definedName name="xxx" hidden="1">{"Area1",#N/A,TRUE,"Obiettivo";"Area2",#N/A,TRUE,"Dati per Direzione"}</definedName>
    <definedName name="xxxx" localSheetId="3">#REF!</definedName>
    <definedName name="xxxx">#REF!</definedName>
    <definedName name="y" hidden="1">{#N/A,#N/A,FALSE,"F-YLDS";#N/A,#N/A,FALSE,"ASP";#N/A,#N/A,FALSE,"FRPRD"}</definedName>
    <definedName name="Year_to_Maturity">'[5]Ratios Output'!$J$32</definedName>
    <definedName name="Year_with_semesters_Co">[21]Construction!$J$17:$DM$17</definedName>
    <definedName name="Year_with_semesters_Op">[21]Operation!$J$17:$CE$17</definedName>
    <definedName name="Yearfraction">[21]Operation!$J$22:$CE$22</definedName>
    <definedName name="Yearfraction_Interests">[21]Operation!$J$28:$CE$28</definedName>
    <definedName name="yh" hidden="1">{#N/A,#N/A,FALSE,"FRPRD"}</definedName>
    <definedName name="yui" hidden="1">{#N/A,#N/A,FALSE,"CA";#N/A,#N/A,FALSE,"CN";#N/A,#N/A,FALSE,"Inv";#N/A,#N/A,FALSE,"Inv Acc";"Miguel_balance",#N/A,FALSE,"Bal";#N/A,#N/A,FALSE,"Plantilla";#N/A,#N/A,FALSE,"CA (2)";#N/A,#N/A,FALSE,"CN (2)"}</definedName>
    <definedName name="yy" localSheetId="3">OFFSET(Full_Print,0,0,[0]!xx)</definedName>
    <definedName name="yy">OFFSET(Full_Print,0,0,xx)</definedName>
    <definedName name="yyy" hidden="1">{#N/A,#N/A,TRUE,"Allacciamenti 5 anni";#N/A,#N/A,TRUE,"Carico 5 anni";#N/A,#N/A,TRUE,"Qualità a) 5 anni";#N/A,#N/A,TRUE,"Qualità b) 5 anni";#N/A,#N/A,TRUE,"Impatto ambientale 5 anni";#N/A,#N/A,TRUE,"Adeg. tecnico 5 anni"}</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hidden="1">{#N/A,#N/A,TRUE,"Allacciamenti 5 anni";#N/A,#N/A,TRUE,"Carico 5 anni";#N/A,#N/A,TRUE,"Qualità a) 5 anni";#N/A,#N/A,TRUE,"Qualità b) 5 anni";#N/A,#N/A,TRUE,"Impatto ambientale 5 anni";#N/A,#N/A,TRUE,"Adeg. tecnico 5 anni"}</definedName>
    <definedName name="za" hidden="1">{#N/A,#N/A,FALSE,"F-YLDS";#N/A,#N/A,FALSE,"ASP";#N/A,#N/A,FALSE,"FRPRD"}</definedName>
    <definedName name="ZakatRate">'[42]Gen Assum'!$F$605</definedName>
    <definedName name="zz"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 i="4" l="1"/>
  <c r="I62" i="4"/>
  <c r="J62" i="4"/>
  <c r="K62" i="4"/>
  <c r="L62" i="4"/>
  <c r="M62" i="4"/>
  <c r="N62" i="4"/>
  <c r="O62" i="4"/>
  <c r="P62" i="4"/>
  <c r="G62" i="4"/>
  <c r="I22" i="4"/>
  <c r="J22" i="4"/>
  <c r="K22" i="4"/>
  <c r="L22" i="4"/>
  <c r="M22" i="4"/>
  <c r="N22" i="4"/>
  <c r="O22" i="4"/>
  <c r="P22" i="4"/>
  <c r="G22" i="4"/>
  <c r="H22" i="4"/>
  <c r="B15" i="8"/>
  <c r="G33" i="4" s="1"/>
  <c r="H28" i="4"/>
  <c r="I28" i="4"/>
  <c r="L28" i="4"/>
  <c r="M28" i="4"/>
  <c r="N28" i="4"/>
  <c r="O28" i="4"/>
  <c r="P28" i="4"/>
  <c r="G28" i="4"/>
  <c r="B14" i="8"/>
  <c r="K28" i="4" s="1"/>
  <c r="H46" i="4"/>
  <c r="I46" i="4"/>
  <c r="J46" i="4"/>
  <c r="K46" i="4"/>
  <c r="L46" i="4"/>
  <c r="M46" i="4"/>
  <c r="N46" i="4"/>
  <c r="O46" i="4"/>
  <c r="P46" i="4"/>
  <c r="H47" i="4"/>
  <c r="I47" i="4"/>
  <c r="J47" i="4"/>
  <c r="K47" i="4"/>
  <c r="L47" i="4"/>
  <c r="M47" i="4"/>
  <c r="N47" i="4"/>
  <c r="O47" i="4"/>
  <c r="P47" i="4"/>
  <c r="H48" i="4"/>
  <c r="I48" i="4"/>
  <c r="J48" i="4"/>
  <c r="K48" i="4"/>
  <c r="L48" i="4"/>
  <c r="M48" i="4"/>
  <c r="N48" i="4"/>
  <c r="O48" i="4"/>
  <c r="P48" i="4"/>
  <c r="H49" i="4"/>
  <c r="I49" i="4"/>
  <c r="J49" i="4"/>
  <c r="K49" i="4"/>
  <c r="L49" i="4"/>
  <c r="M49" i="4"/>
  <c r="N49" i="4"/>
  <c r="O49" i="4"/>
  <c r="P49" i="4"/>
  <c r="H50" i="4"/>
  <c r="I50" i="4"/>
  <c r="J50" i="4"/>
  <c r="K50" i="4"/>
  <c r="L50" i="4"/>
  <c r="M50" i="4"/>
  <c r="N50" i="4"/>
  <c r="O50" i="4"/>
  <c r="P50" i="4"/>
  <c r="H51" i="4"/>
  <c r="I51" i="4"/>
  <c r="J51" i="4"/>
  <c r="K51" i="4"/>
  <c r="L51" i="4"/>
  <c r="M51" i="4"/>
  <c r="N51" i="4"/>
  <c r="O51" i="4"/>
  <c r="P51" i="4"/>
  <c r="H52" i="4"/>
  <c r="I52" i="4"/>
  <c r="J52" i="4"/>
  <c r="K52" i="4"/>
  <c r="L52" i="4"/>
  <c r="M52" i="4"/>
  <c r="N52" i="4"/>
  <c r="O52" i="4"/>
  <c r="P52" i="4"/>
  <c r="G47" i="4"/>
  <c r="G48" i="4"/>
  <c r="G49" i="4"/>
  <c r="B26" i="8" s="1"/>
  <c r="G50" i="4"/>
  <c r="G51" i="4"/>
  <c r="B27" i="8" s="1"/>
  <c r="N107" i="4" s="1"/>
  <c r="G52" i="4"/>
  <c r="G46" i="4"/>
  <c r="B31" i="8"/>
  <c r="K124" i="4" s="1"/>
  <c r="B30" i="8"/>
  <c r="K118" i="4" s="1"/>
  <c r="B28" i="8"/>
  <c r="M109" i="4" s="1"/>
  <c r="B25" i="8"/>
  <c r="S13" i="4"/>
  <c r="O105" i="4" l="1"/>
  <c r="B13" i="8"/>
  <c r="O25" i="4" s="1"/>
  <c r="O37" i="4" s="1"/>
  <c r="H104" i="4"/>
  <c r="B12" i="8"/>
  <c r="G25" i="4" s="1"/>
  <c r="B16" i="8"/>
  <c r="J28" i="4"/>
  <c r="B29" i="8"/>
  <c r="L115" i="4" s="1"/>
  <c r="G105" i="4"/>
  <c r="L109" i="4"/>
  <c r="G124" i="4"/>
  <c r="K109" i="4"/>
  <c r="M107" i="4"/>
  <c r="L107" i="4"/>
  <c r="O104" i="4"/>
  <c r="K115" i="4"/>
  <c r="J115" i="4"/>
  <c r="N104" i="4"/>
  <c r="I115" i="4"/>
  <c r="K107" i="4"/>
  <c r="M104" i="4"/>
  <c r="G104" i="4"/>
  <c r="J107" i="4"/>
  <c r="N105" i="4"/>
  <c r="M105" i="4"/>
  <c r="J124" i="4"/>
  <c r="J109" i="4"/>
  <c r="L105" i="4"/>
  <c r="P115" i="4"/>
  <c r="I109" i="4"/>
  <c r="K105" i="4"/>
  <c r="J118" i="4"/>
  <c r="H124" i="4"/>
  <c r="O118" i="4"/>
  <c r="L104" i="4"/>
  <c r="G107" i="4"/>
  <c r="N124" i="4"/>
  <c r="N118" i="4"/>
  <c r="O115" i="4"/>
  <c r="P109" i="4"/>
  <c r="H109" i="4"/>
  <c r="I107" i="4"/>
  <c r="J105" i="4"/>
  <c r="K104" i="4"/>
  <c r="H118" i="4"/>
  <c r="G109" i="4"/>
  <c r="M124" i="4"/>
  <c r="M118" i="4"/>
  <c r="N115" i="4"/>
  <c r="O109" i="4"/>
  <c r="P107" i="4"/>
  <c r="H107" i="4"/>
  <c r="I105" i="4"/>
  <c r="J104" i="4"/>
  <c r="I124" i="4"/>
  <c r="P118" i="4"/>
  <c r="O124" i="4"/>
  <c r="G115" i="4"/>
  <c r="L124" i="4"/>
  <c r="L118" i="4"/>
  <c r="M115" i="4"/>
  <c r="N109" i="4"/>
  <c r="O107" i="4"/>
  <c r="P105" i="4"/>
  <c r="H105" i="4"/>
  <c r="I104" i="4"/>
  <c r="I118" i="4"/>
  <c r="P124" i="4"/>
  <c r="G118" i="4"/>
  <c r="P104" i="4"/>
  <c r="I16" i="4"/>
  <c r="J16" i="4"/>
  <c r="K16" i="4"/>
  <c r="L16" i="4"/>
  <c r="M16" i="4"/>
  <c r="N16" i="4"/>
  <c r="O16" i="4"/>
  <c r="P16" i="4"/>
  <c r="L25" i="4" l="1"/>
  <c r="L37" i="4" s="1"/>
  <c r="J25" i="4"/>
  <c r="J37" i="4" s="1"/>
  <c r="I25" i="4"/>
  <c r="I37" i="4" s="1"/>
  <c r="M25" i="4"/>
  <c r="M37" i="4" s="1"/>
  <c r="K25" i="4"/>
  <c r="K37" i="4" s="1"/>
  <c r="H25" i="4"/>
  <c r="H37" i="4" s="1"/>
  <c r="N25" i="4"/>
  <c r="N37" i="4" s="1"/>
  <c r="P25" i="4"/>
  <c r="P37" i="4" s="1"/>
  <c r="H115" i="4"/>
  <c r="I33" i="4"/>
  <c r="H33" i="4"/>
  <c r="J33" i="4"/>
  <c r="M33" i="4"/>
  <c r="K33" i="4"/>
  <c r="L33" i="4"/>
  <c r="N33" i="4"/>
  <c r="P33" i="4"/>
  <c r="O33" i="4"/>
  <c r="T123" i="4"/>
  <c r="U32" i="4"/>
  <c r="V32" i="4"/>
  <c r="W32" i="4"/>
  <c r="X32" i="4"/>
  <c r="Y32" i="4"/>
  <c r="Z32" i="4"/>
  <c r="AA32" i="4"/>
  <c r="AB32" i="4"/>
  <c r="AC32" i="4"/>
  <c r="T32" i="4"/>
  <c r="P68" i="25"/>
  <c r="O68" i="25"/>
  <c r="N68" i="25"/>
  <c r="M68" i="25"/>
  <c r="L68" i="25"/>
  <c r="K68" i="25"/>
  <c r="J68" i="25"/>
  <c r="I68" i="25"/>
  <c r="H68" i="25"/>
  <c r="G68" i="25"/>
  <c r="P62" i="25"/>
  <c r="O62" i="25"/>
  <c r="N62" i="25"/>
  <c r="M62" i="25"/>
  <c r="L62" i="25"/>
  <c r="K62" i="25"/>
  <c r="J62" i="25"/>
  <c r="I62" i="25"/>
  <c r="H62" i="25"/>
  <c r="G62" i="25"/>
  <c r="P49" i="25"/>
  <c r="O49" i="25"/>
  <c r="N49" i="25"/>
  <c r="M49" i="25"/>
  <c r="L49" i="25"/>
  <c r="K49" i="25"/>
  <c r="J49" i="25"/>
  <c r="I49" i="25"/>
  <c r="H49" i="25"/>
  <c r="G49" i="25"/>
  <c r="P61" i="25"/>
  <c r="O61" i="25"/>
  <c r="N61" i="25"/>
  <c r="M61" i="25"/>
  <c r="L61" i="25"/>
  <c r="K61" i="25"/>
  <c r="J61" i="25"/>
  <c r="I61" i="25"/>
  <c r="H61" i="25"/>
  <c r="G61" i="25"/>
  <c r="B81" i="5"/>
  <c r="AD32" i="4" l="1"/>
  <c r="B104" i="5"/>
  <c r="B103" i="5"/>
  <c r="B75" i="5"/>
  <c r="B88" i="5"/>
  <c r="B87" i="5"/>
  <c r="B77" i="5"/>
  <c r="T109" i="4" l="1"/>
  <c r="T111" i="4"/>
  <c r="T120" i="4"/>
  <c r="T121" i="4"/>
  <c r="T122" i="4"/>
  <c r="S27" i="4"/>
  <c r="S21" i="25"/>
  <c r="G16" i="4"/>
  <c r="Z27" i="4" l="1"/>
  <c r="AA27" i="4"/>
  <c r="T27" i="4"/>
  <c r="AB27" i="4"/>
  <c r="U27" i="4"/>
  <c r="AC27" i="4"/>
  <c r="V27" i="4"/>
  <c r="W27" i="4"/>
  <c r="X27" i="4"/>
  <c r="Y27" i="4"/>
  <c r="T114" i="4"/>
  <c r="T115" i="4"/>
  <c r="T119" i="4"/>
  <c r="T116" i="4" l="1"/>
  <c r="T117" i="4"/>
  <c r="S42" i="25"/>
  <c r="G77" i="4"/>
  <c r="G76" i="4"/>
  <c r="G72" i="4"/>
  <c r="G73" i="4"/>
  <c r="G74" i="4"/>
  <c r="G75" i="4"/>
  <c r="S10" i="4"/>
  <c r="G10" i="4"/>
  <c r="T10" i="4" l="1"/>
  <c r="H30" i="25"/>
  <c r="S43" i="25"/>
  <c r="B17" i="5"/>
  <c r="H35" i="25"/>
  <c r="I35" i="25"/>
  <c r="J35" i="25"/>
  <c r="K35" i="25"/>
  <c r="L35" i="25"/>
  <c r="M35" i="25"/>
  <c r="N35" i="25"/>
  <c r="O35" i="25"/>
  <c r="P35" i="25"/>
  <c r="H36" i="25"/>
  <c r="I36" i="25"/>
  <c r="J36" i="25"/>
  <c r="K36" i="25"/>
  <c r="L36" i="25"/>
  <c r="M36" i="25"/>
  <c r="N36" i="25"/>
  <c r="O36" i="25"/>
  <c r="P36" i="25"/>
  <c r="G35" i="25"/>
  <c r="G36" i="25"/>
  <c r="L30" i="25" l="1"/>
  <c r="M30" i="25"/>
  <c r="K30" i="25"/>
  <c r="P30" i="25"/>
  <c r="O30" i="25"/>
  <c r="J30" i="25"/>
  <c r="G30" i="25"/>
  <c r="I30" i="25"/>
  <c r="G71" i="4"/>
  <c r="T71" i="4" s="1"/>
  <c r="N30" i="25"/>
  <c r="B55" i="5"/>
  <c r="B61" i="5"/>
  <c r="B62" i="5"/>
  <c r="B66" i="5"/>
  <c r="B65" i="5"/>
  <c r="S26" i="25" l="1"/>
  <c r="S45" i="25"/>
  <c r="S44" i="25"/>
  <c r="B90" i="5"/>
  <c r="B71" i="5"/>
  <c r="B76" i="5"/>
  <c r="B74" i="5"/>
  <c r="B105" i="5"/>
  <c r="B100" i="5"/>
  <c r="B79" i="5" s="1"/>
  <c r="B99" i="5"/>
  <c r="B78" i="5" s="1"/>
  <c r="B94" i="5"/>
  <c r="B93" i="5"/>
  <c r="B72" i="5" s="1"/>
  <c r="T124" i="4" l="1"/>
  <c r="T110" i="4"/>
  <c r="T105" i="4"/>
  <c r="T106" i="4"/>
  <c r="T107" i="4"/>
  <c r="T112" i="4"/>
  <c r="T113" i="4"/>
  <c r="T118" i="4"/>
  <c r="T108" i="4"/>
  <c r="T33" i="4"/>
  <c r="G16" i="25"/>
  <c r="G91" i="25" s="1"/>
  <c r="T104" i="4"/>
  <c r="T91" i="25" l="1"/>
  <c r="G77" i="25"/>
  <c r="T77" i="25" s="1"/>
  <c r="G85" i="25"/>
  <c r="T85" i="25" s="1"/>
  <c r="G74" i="25"/>
  <c r="T74" i="25" s="1"/>
  <c r="G83" i="25"/>
  <c r="T83" i="25" s="1"/>
  <c r="G84" i="25"/>
  <c r="T84" i="25" s="1"/>
  <c r="G78" i="25"/>
  <c r="T78" i="25" s="1"/>
  <c r="G86" i="25"/>
  <c r="T86" i="25" s="1"/>
  <c r="G79" i="25"/>
  <c r="T79" i="25" s="1"/>
  <c r="G87" i="25"/>
  <c r="T87" i="25" s="1"/>
  <c r="G82" i="25"/>
  <c r="T82" i="25" s="1"/>
  <c r="G92" i="25"/>
  <c r="T92" i="25" s="1"/>
  <c r="G76" i="25"/>
  <c r="T76" i="25" s="1"/>
  <c r="G80" i="25"/>
  <c r="T80" i="25" s="1"/>
  <c r="G88" i="25"/>
  <c r="T88" i="25" s="1"/>
  <c r="G75" i="25"/>
  <c r="T75" i="25" s="1"/>
  <c r="G73" i="25"/>
  <c r="T73" i="25" s="1"/>
  <c r="G81" i="25"/>
  <c r="T81" i="25" s="1"/>
  <c r="G89" i="25"/>
  <c r="T89" i="25" s="1"/>
  <c r="G90" i="25"/>
  <c r="T90" i="25" s="1"/>
  <c r="G26" i="25"/>
  <c r="G19" i="25"/>
  <c r="G45" i="25"/>
  <c r="T45" i="25" s="1"/>
  <c r="G44" i="25"/>
  <c r="T44" i="25" s="1"/>
  <c r="G72" i="25"/>
  <c r="T72" i="25" s="1"/>
  <c r="G43" i="25"/>
  <c r="T43" i="25" s="1"/>
  <c r="G41" i="25"/>
  <c r="G42" i="25"/>
  <c r="T42" i="25" s="1"/>
  <c r="G40" i="25"/>
  <c r="T93" i="25" l="1"/>
  <c r="T26" i="25"/>
  <c r="H31" i="25"/>
  <c r="I31" i="25"/>
  <c r="J31" i="25"/>
  <c r="K31" i="25"/>
  <c r="L31" i="25"/>
  <c r="M31" i="25"/>
  <c r="N31" i="25"/>
  <c r="O31" i="25"/>
  <c r="P31" i="25"/>
  <c r="H32" i="25"/>
  <c r="I32" i="25"/>
  <c r="J32" i="25"/>
  <c r="K32" i="25"/>
  <c r="L32" i="25"/>
  <c r="M32" i="25"/>
  <c r="N32" i="25"/>
  <c r="O32" i="25"/>
  <c r="P32" i="25"/>
  <c r="H33" i="25"/>
  <c r="I33" i="25"/>
  <c r="J33" i="25"/>
  <c r="K33" i="25"/>
  <c r="L33" i="25"/>
  <c r="M33" i="25"/>
  <c r="N33" i="25"/>
  <c r="O33" i="25"/>
  <c r="P33" i="25"/>
  <c r="H34" i="25"/>
  <c r="I34" i="25"/>
  <c r="J34" i="25"/>
  <c r="K34" i="25"/>
  <c r="L34" i="25"/>
  <c r="M34" i="25"/>
  <c r="N34" i="25"/>
  <c r="O34" i="25"/>
  <c r="P34" i="25"/>
  <c r="G32" i="25"/>
  <c r="G33" i="25"/>
  <c r="G34" i="25"/>
  <c r="G31" i="25"/>
  <c r="G39" i="25" l="1"/>
  <c r="S22" i="25" l="1"/>
  <c r="S28" i="4"/>
  <c r="U28" i="4" l="1"/>
  <c r="T28" i="4"/>
  <c r="S10" i="25"/>
  <c r="S25" i="25"/>
  <c r="Y25" i="25" s="1"/>
  <c r="Q25" i="25"/>
  <c r="S24" i="25"/>
  <c r="Z24" i="25" s="1"/>
  <c r="Q24" i="25"/>
  <c r="S23" i="25"/>
  <c r="AC23" i="25" s="1"/>
  <c r="Q23" i="25"/>
  <c r="S20" i="25"/>
  <c r="S16" i="4"/>
  <c r="B20" i="5"/>
  <c r="U123" i="4" l="1"/>
  <c r="U104" i="4"/>
  <c r="U112" i="4"/>
  <c r="U120" i="4"/>
  <c r="U115" i="4"/>
  <c r="U105" i="4"/>
  <c r="U113" i="4"/>
  <c r="U121" i="4"/>
  <c r="U106" i="4"/>
  <c r="U114" i="4"/>
  <c r="U122" i="4"/>
  <c r="U107" i="4"/>
  <c r="U108" i="4"/>
  <c r="U116" i="4"/>
  <c r="U111" i="4"/>
  <c r="U119" i="4"/>
  <c r="U109" i="4"/>
  <c r="U117" i="4"/>
  <c r="U110" i="4"/>
  <c r="U118" i="4"/>
  <c r="H13" i="4"/>
  <c r="G13" i="4"/>
  <c r="G10" i="25"/>
  <c r="T10" i="25" s="1"/>
  <c r="T7" i="25" s="1"/>
  <c r="C6" i="17" s="1"/>
  <c r="H16" i="4"/>
  <c r="U16" i="4" s="1"/>
  <c r="T16" i="4"/>
  <c r="U124" i="4"/>
  <c r="H76" i="4"/>
  <c r="U76" i="4" s="1"/>
  <c r="H75" i="4"/>
  <c r="H73" i="4"/>
  <c r="U73" i="4" s="1"/>
  <c r="H72" i="4"/>
  <c r="U72" i="4" s="1"/>
  <c r="H71" i="4"/>
  <c r="U71" i="4" s="1"/>
  <c r="H77" i="4"/>
  <c r="U77" i="4" s="1"/>
  <c r="H74" i="4"/>
  <c r="H10" i="4"/>
  <c r="S25" i="4"/>
  <c r="T25" i="4" s="1"/>
  <c r="B6" i="5"/>
  <c r="H16" i="25"/>
  <c r="H91" i="25" s="1"/>
  <c r="V123" i="4"/>
  <c r="AB25" i="25"/>
  <c r="AA25" i="25"/>
  <c r="AC25" i="25"/>
  <c r="AA24" i="25"/>
  <c r="AB24" i="25"/>
  <c r="AC24" i="25"/>
  <c r="Z25" i="25"/>
  <c r="AA23" i="25"/>
  <c r="U23" i="25"/>
  <c r="Z23" i="25"/>
  <c r="Y23" i="25"/>
  <c r="X23" i="25"/>
  <c r="W23" i="25"/>
  <c r="V23" i="25"/>
  <c r="T23" i="25"/>
  <c r="AB23" i="25"/>
  <c r="U24" i="25"/>
  <c r="T25" i="25"/>
  <c r="V24" i="25"/>
  <c r="U25" i="25"/>
  <c r="T24" i="25"/>
  <c r="W24" i="25"/>
  <c r="V25" i="25"/>
  <c r="X24" i="25"/>
  <c r="W25" i="25"/>
  <c r="Y24" i="25"/>
  <c r="X25" i="25"/>
  <c r="T74" i="4" l="1"/>
  <c r="T73" i="4"/>
  <c r="T72" i="4"/>
  <c r="T77" i="4"/>
  <c r="T75" i="4"/>
  <c r="T76" i="4"/>
  <c r="U75" i="4"/>
  <c r="U74" i="4"/>
  <c r="I13" i="4"/>
  <c r="V119" i="4"/>
  <c r="V122" i="4"/>
  <c r="V118" i="4"/>
  <c r="V104" i="4"/>
  <c r="V112" i="4"/>
  <c r="V120" i="4"/>
  <c r="V106" i="4"/>
  <c r="V114" i="4"/>
  <c r="V110" i="4"/>
  <c r="V105" i="4"/>
  <c r="V113" i="4"/>
  <c r="V121" i="4"/>
  <c r="V107" i="4"/>
  <c r="V115" i="4"/>
  <c r="V117" i="4"/>
  <c r="V108" i="4"/>
  <c r="H10" i="25"/>
  <c r="H72" i="25"/>
  <c r="U72" i="25" s="1"/>
  <c r="H80" i="25"/>
  <c r="U80" i="25" s="1"/>
  <c r="H88" i="25"/>
  <c r="U88" i="25" s="1"/>
  <c r="H85" i="25"/>
  <c r="U85" i="25" s="1"/>
  <c r="H73" i="25"/>
  <c r="U73" i="25" s="1"/>
  <c r="H81" i="25"/>
  <c r="U81" i="25" s="1"/>
  <c r="H89" i="25"/>
  <c r="U89" i="25" s="1"/>
  <c r="H74" i="25"/>
  <c r="U74" i="25" s="1"/>
  <c r="H82" i="25"/>
  <c r="U82" i="25" s="1"/>
  <c r="H90" i="25"/>
  <c r="U90" i="25" s="1"/>
  <c r="H87" i="25"/>
  <c r="U87" i="25" s="1"/>
  <c r="H75" i="25"/>
  <c r="U75" i="25" s="1"/>
  <c r="H83" i="25"/>
  <c r="U83" i="25" s="1"/>
  <c r="H92" i="25"/>
  <c r="U92" i="25" s="1"/>
  <c r="H76" i="25"/>
  <c r="U76" i="25" s="1"/>
  <c r="H84" i="25"/>
  <c r="U84" i="25" s="1"/>
  <c r="H77" i="25"/>
  <c r="U77" i="25" s="1"/>
  <c r="H78" i="25"/>
  <c r="U78" i="25" s="1"/>
  <c r="H86" i="25"/>
  <c r="U86" i="25" s="1"/>
  <c r="H79" i="25"/>
  <c r="U79" i="25" s="1"/>
  <c r="V111" i="4"/>
  <c r="V109" i="4"/>
  <c r="V124" i="4"/>
  <c r="V116" i="4"/>
  <c r="V33" i="4"/>
  <c r="T13" i="4"/>
  <c r="U33" i="4"/>
  <c r="S39" i="25"/>
  <c r="S41" i="25"/>
  <c r="T41" i="25" s="1"/>
  <c r="S40" i="25"/>
  <c r="T40" i="25" s="1"/>
  <c r="U10" i="4"/>
  <c r="I72" i="4"/>
  <c r="V72" i="4" s="1"/>
  <c r="I76" i="4"/>
  <c r="V76" i="4" s="1"/>
  <c r="I71" i="4"/>
  <c r="V71" i="4" s="1"/>
  <c r="I77" i="4"/>
  <c r="V77" i="4" s="1"/>
  <c r="I75" i="4"/>
  <c r="V75" i="4" s="1"/>
  <c r="I74" i="4"/>
  <c r="V74" i="4" s="1"/>
  <c r="I73" i="4"/>
  <c r="V73" i="4" s="1"/>
  <c r="I10" i="4"/>
  <c r="H19" i="25"/>
  <c r="H26" i="25"/>
  <c r="S19" i="25"/>
  <c r="T19" i="25" s="1"/>
  <c r="H44" i="25"/>
  <c r="U44" i="25" s="1"/>
  <c r="H45" i="25"/>
  <c r="U45" i="25" s="1"/>
  <c r="H39" i="25"/>
  <c r="H43" i="25"/>
  <c r="U43" i="25" s="1"/>
  <c r="H41" i="25"/>
  <c r="H42" i="25"/>
  <c r="U42" i="25" s="1"/>
  <c r="H40" i="25"/>
  <c r="I16" i="25"/>
  <c r="I91" i="25" s="1"/>
  <c r="W123" i="4"/>
  <c r="T21" i="25"/>
  <c r="T20" i="25"/>
  <c r="T22" i="25"/>
  <c r="U22" i="25"/>
  <c r="U20" i="25"/>
  <c r="U21" i="25"/>
  <c r="AD23" i="25"/>
  <c r="V22" i="25"/>
  <c r="V21" i="25"/>
  <c r="V20" i="25"/>
  <c r="AD25" i="25"/>
  <c r="AD24" i="25"/>
  <c r="V16" i="4" l="1"/>
  <c r="V28" i="4"/>
  <c r="W110" i="4"/>
  <c r="W118" i="4"/>
  <c r="W113" i="4"/>
  <c r="W111" i="4"/>
  <c r="W119" i="4"/>
  <c r="W121" i="4"/>
  <c r="W117" i="4"/>
  <c r="W104" i="4"/>
  <c r="W112" i="4"/>
  <c r="W120" i="4"/>
  <c r="W106" i="4"/>
  <c r="W114" i="4"/>
  <c r="W122" i="4"/>
  <c r="W108" i="4"/>
  <c r="W107" i="4"/>
  <c r="W115" i="4"/>
  <c r="W116" i="4"/>
  <c r="W109" i="4"/>
  <c r="J13" i="4"/>
  <c r="U91" i="25"/>
  <c r="I10" i="25"/>
  <c r="V10" i="25" s="1"/>
  <c r="V7" i="25" s="1"/>
  <c r="E6" i="17" s="1"/>
  <c r="V91" i="25"/>
  <c r="I79" i="25"/>
  <c r="V79" i="25" s="1"/>
  <c r="I87" i="25"/>
  <c r="V87" i="25" s="1"/>
  <c r="I76" i="25"/>
  <c r="V76" i="25" s="1"/>
  <c r="I77" i="25"/>
  <c r="V77" i="25" s="1"/>
  <c r="I85" i="25"/>
  <c r="V85" i="25" s="1"/>
  <c r="I72" i="25"/>
  <c r="V72" i="25" s="1"/>
  <c r="I80" i="25"/>
  <c r="V80" i="25" s="1"/>
  <c r="I88" i="25"/>
  <c r="V88" i="25" s="1"/>
  <c r="I84" i="25"/>
  <c r="V84" i="25" s="1"/>
  <c r="I73" i="25"/>
  <c r="V73" i="25" s="1"/>
  <c r="I81" i="25"/>
  <c r="V81" i="25" s="1"/>
  <c r="I89" i="25"/>
  <c r="V89" i="25" s="1"/>
  <c r="I74" i="25"/>
  <c r="V74" i="25" s="1"/>
  <c r="I82" i="25"/>
  <c r="V82" i="25" s="1"/>
  <c r="I90" i="25"/>
  <c r="V90" i="25" s="1"/>
  <c r="I78" i="25"/>
  <c r="V78" i="25" s="1"/>
  <c r="I86" i="25"/>
  <c r="V86" i="25" s="1"/>
  <c r="I75" i="25"/>
  <c r="V75" i="25" s="1"/>
  <c r="I83" i="25"/>
  <c r="V83" i="25" s="1"/>
  <c r="I92" i="25"/>
  <c r="V92" i="25" s="1"/>
  <c r="U13" i="4"/>
  <c r="U39" i="25"/>
  <c r="U25" i="4"/>
  <c r="U40" i="25"/>
  <c r="W25" i="4"/>
  <c r="W105" i="4"/>
  <c r="W124" i="4"/>
  <c r="U41" i="25"/>
  <c r="V25" i="4"/>
  <c r="T78" i="4"/>
  <c r="T27" i="25"/>
  <c r="V78" i="4"/>
  <c r="U78" i="4"/>
  <c r="J76" i="4"/>
  <c r="W76" i="4" s="1"/>
  <c r="J74" i="4"/>
  <c r="W74" i="4" s="1"/>
  <c r="J71" i="4"/>
  <c r="W71" i="4" s="1"/>
  <c r="J72" i="4"/>
  <c r="W72" i="4" s="1"/>
  <c r="J77" i="4"/>
  <c r="W77" i="4" s="1"/>
  <c r="J75" i="4"/>
  <c r="W75" i="4" s="1"/>
  <c r="J73" i="4"/>
  <c r="W73" i="4" s="1"/>
  <c r="V10" i="4"/>
  <c r="V13" i="4"/>
  <c r="U19" i="25"/>
  <c r="J10" i="4"/>
  <c r="I19" i="25"/>
  <c r="I26" i="25"/>
  <c r="V26" i="25" s="1"/>
  <c r="U26" i="25"/>
  <c r="T39" i="25"/>
  <c r="T46" i="25" s="1"/>
  <c r="I44" i="25"/>
  <c r="V44" i="25" s="1"/>
  <c r="I45" i="25"/>
  <c r="V45" i="25" s="1"/>
  <c r="I39" i="25"/>
  <c r="V39" i="25" s="1"/>
  <c r="I41" i="25"/>
  <c r="V41" i="25" s="1"/>
  <c r="I42" i="25"/>
  <c r="V42" i="25" s="1"/>
  <c r="I40" i="25"/>
  <c r="V40" i="25" s="1"/>
  <c r="I43" i="25"/>
  <c r="V43" i="25" s="1"/>
  <c r="T125" i="4"/>
  <c r="J16" i="25"/>
  <c r="J91" i="25" s="1"/>
  <c r="X123" i="4"/>
  <c r="U10" i="25"/>
  <c r="W20" i="25"/>
  <c r="W21" i="25"/>
  <c r="W22" i="25"/>
  <c r="W16" i="4" l="1"/>
  <c r="W28" i="4"/>
  <c r="X109" i="4"/>
  <c r="X117" i="4"/>
  <c r="X110" i="4"/>
  <c r="X112" i="4"/>
  <c r="X111" i="4"/>
  <c r="X119" i="4"/>
  <c r="X120" i="4"/>
  <c r="X108" i="4"/>
  <c r="X104" i="4"/>
  <c r="X113" i="4"/>
  <c r="X121" i="4"/>
  <c r="X115" i="4"/>
  <c r="X106" i="4"/>
  <c r="X114" i="4"/>
  <c r="X122" i="4"/>
  <c r="X107" i="4"/>
  <c r="X116" i="4"/>
  <c r="K13" i="4"/>
  <c r="J10" i="25"/>
  <c r="W10" i="25" s="1"/>
  <c r="W7" i="25" s="1"/>
  <c r="F6" i="17" s="1"/>
  <c r="J78" i="25"/>
  <c r="W78" i="25" s="1"/>
  <c r="J86" i="25"/>
  <c r="W86" i="25" s="1"/>
  <c r="J79" i="25"/>
  <c r="W79" i="25" s="1"/>
  <c r="J87" i="25"/>
  <c r="W87" i="25" s="1"/>
  <c r="J75" i="25"/>
  <c r="W75" i="25" s="1"/>
  <c r="J92" i="25"/>
  <c r="W92" i="25" s="1"/>
  <c r="J72" i="25"/>
  <c r="W72" i="25" s="1"/>
  <c r="J80" i="25"/>
  <c r="W80" i="25" s="1"/>
  <c r="J88" i="25"/>
  <c r="W88" i="25" s="1"/>
  <c r="J76" i="25"/>
  <c r="W76" i="25" s="1"/>
  <c r="J77" i="25"/>
  <c r="W77" i="25" s="1"/>
  <c r="J73" i="25"/>
  <c r="W73" i="25" s="1"/>
  <c r="J81" i="25"/>
  <c r="W81" i="25" s="1"/>
  <c r="J89" i="25"/>
  <c r="W89" i="25" s="1"/>
  <c r="J74" i="25"/>
  <c r="W74" i="25" s="1"/>
  <c r="J82" i="25"/>
  <c r="W82" i="25" s="1"/>
  <c r="J90" i="25"/>
  <c r="W90" i="25" s="1"/>
  <c r="J83" i="25"/>
  <c r="W83" i="25" s="1"/>
  <c r="J84" i="25"/>
  <c r="W84" i="25" s="1"/>
  <c r="J85" i="25"/>
  <c r="W85" i="25" s="1"/>
  <c r="V93" i="25"/>
  <c r="U46" i="25"/>
  <c r="W33" i="4"/>
  <c r="X105" i="4"/>
  <c r="X118" i="4"/>
  <c r="X124" i="4"/>
  <c r="X25" i="4"/>
  <c r="X33" i="4"/>
  <c r="U27" i="25"/>
  <c r="T13" i="25"/>
  <c r="C12" i="17" s="1"/>
  <c r="K76" i="4"/>
  <c r="X76" i="4" s="1"/>
  <c r="K71" i="4"/>
  <c r="X71" i="4" s="1"/>
  <c r="K75" i="4"/>
  <c r="X75" i="4" s="1"/>
  <c r="K77" i="4"/>
  <c r="X77" i="4" s="1"/>
  <c r="K74" i="4"/>
  <c r="X74" i="4" s="1"/>
  <c r="K72" i="4"/>
  <c r="X72" i="4" s="1"/>
  <c r="K73" i="4"/>
  <c r="X73" i="4" s="1"/>
  <c r="W10" i="4"/>
  <c r="W13" i="4"/>
  <c r="V46" i="25"/>
  <c r="K10" i="4"/>
  <c r="J19" i="25"/>
  <c r="J26" i="25"/>
  <c r="J44" i="25"/>
  <c r="W44" i="25" s="1"/>
  <c r="J45" i="25"/>
  <c r="W45" i="25" s="1"/>
  <c r="J40" i="25"/>
  <c r="W40" i="25" s="1"/>
  <c r="J39" i="25"/>
  <c r="W39" i="25" s="1"/>
  <c r="J41" i="25"/>
  <c r="W41" i="25" s="1"/>
  <c r="J42" i="25"/>
  <c r="W42" i="25" s="1"/>
  <c r="J43" i="25"/>
  <c r="W43" i="25" s="1"/>
  <c r="K16" i="25"/>
  <c r="K91" i="25" s="1"/>
  <c r="V19" i="25"/>
  <c r="V27" i="25" s="1"/>
  <c r="Y123" i="4"/>
  <c r="U93" i="25"/>
  <c r="U7" i="25"/>
  <c r="D6" i="17" s="1"/>
  <c r="X22" i="25"/>
  <c r="X20" i="25"/>
  <c r="X21" i="25"/>
  <c r="U125" i="4"/>
  <c r="X16" i="4" l="1"/>
  <c r="X28" i="4"/>
  <c r="Y108" i="4"/>
  <c r="Y116" i="4"/>
  <c r="Y119" i="4"/>
  <c r="Y107" i="4"/>
  <c r="Y115" i="4"/>
  <c r="Y109" i="4"/>
  <c r="Y117" i="4"/>
  <c r="Y110" i="4"/>
  <c r="Y118" i="4"/>
  <c r="Y111" i="4"/>
  <c r="Y104" i="4"/>
  <c r="Y112" i="4"/>
  <c r="Y120" i="4"/>
  <c r="Y105" i="4"/>
  <c r="Y113" i="4"/>
  <c r="Y121" i="4"/>
  <c r="Y106" i="4"/>
  <c r="Y114" i="4"/>
  <c r="Y122" i="4"/>
  <c r="L13" i="4"/>
  <c r="W91" i="25"/>
  <c r="W93" i="25" s="1"/>
  <c r="K10" i="25"/>
  <c r="X10" i="25" s="1"/>
  <c r="X7" i="25" s="1"/>
  <c r="G6" i="17" s="1"/>
  <c r="X91" i="25"/>
  <c r="K77" i="25"/>
  <c r="X77" i="25" s="1"/>
  <c r="K85" i="25"/>
  <c r="X85" i="25" s="1"/>
  <c r="K82" i="25"/>
  <c r="X82" i="25" s="1"/>
  <c r="K90" i="25"/>
  <c r="X90" i="25" s="1"/>
  <c r="K78" i="25"/>
  <c r="X78" i="25" s="1"/>
  <c r="K86" i="25"/>
  <c r="X86" i="25" s="1"/>
  <c r="K79" i="25"/>
  <c r="X79" i="25" s="1"/>
  <c r="K87" i="25"/>
  <c r="X87" i="25" s="1"/>
  <c r="K74" i="25"/>
  <c r="X74" i="25" s="1"/>
  <c r="K83" i="25"/>
  <c r="X83" i="25" s="1"/>
  <c r="K84" i="25"/>
  <c r="X84" i="25" s="1"/>
  <c r="K72" i="25"/>
  <c r="X72" i="25" s="1"/>
  <c r="K80" i="25"/>
  <c r="X80" i="25" s="1"/>
  <c r="K88" i="25"/>
  <c r="X88" i="25" s="1"/>
  <c r="K75" i="25"/>
  <c r="X75" i="25" s="1"/>
  <c r="K73" i="25"/>
  <c r="X73" i="25" s="1"/>
  <c r="K81" i="25"/>
  <c r="X81" i="25" s="1"/>
  <c r="K89" i="25"/>
  <c r="X89" i="25" s="1"/>
  <c r="K92" i="25"/>
  <c r="X92" i="25" s="1"/>
  <c r="K76" i="25"/>
  <c r="X76" i="25" s="1"/>
  <c r="Y25" i="4"/>
  <c r="Y124" i="4"/>
  <c r="Y33" i="4"/>
  <c r="W78" i="4"/>
  <c r="V13" i="25"/>
  <c r="E12" i="17" s="1"/>
  <c r="X78" i="4"/>
  <c r="U13" i="25"/>
  <c r="D12" i="17" s="1"/>
  <c r="L73" i="4"/>
  <c r="Y73" i="4" s="1"/>
  <c r="L76" i="4"/>
  <c r="Y76" i="4" s="1"/>
  <c r="L77" i="4"/>
  <c r="Y77" i="4" s="1"/>
  <c r="L75" i="4"/>
  <c r="Y75" i="4" s="1"/>
  <c r="L74" i="4"/>
  <c r="Y74" i="4" s="1"/>
  <c r="L72" i="4"/>
  <c r="Y72" i="4" s="1"/>
  <c r="L71" i="4"/>
  <c r="Y71" i="4" s="1"/>
  <c r="X10" i="4"/>
  <c r="X13" i="4"/>
  <c r="W46" i="25"/>
  <c r="L10" i="4"/>
  <c r="K26" i="25"/>
  <c r="X26" i="25" s="1"/>
  <c r="K19" i="25"/>
  <c r="W26" i="25"/>
  <c r="K44" i="25"/>
  <c r="X44" i="25" s="1"/>
  <c r="K45" i="25"/>
  <c r="X45" i="25" s="1"/>
  <c r="K40" i="25"/>
  <c r="X40" i="25" s="1"/>
  <c r="K39" i="25"/>
  <c r="X39" i="25" s="1"/>
  <c r="K41" i="25"/>
  <c r="X41" i="25" s="1"/>
  <c r="K42" i="25"/>
  <c r="X42" i="25" s="1"/>
  <c r="K43" i="25"/>
  <c r="X43" i="25" s="1"/>
  <c r="L16" i="25"/>
  <c r="L91" i="25" s="1"/>
  <c r="W19" i="25"/>
  <c r="Z123" i="4"/>
  <c r="V125" i="4"/>
  <c r="W125" i="4"/>
  <c r="Y21" i="25"/>
  <c r="Y20" i="25"/>
  <c r="Y22" i="25"/>
  <c r="Y16" i="4" l="1"/>
  <c r="Y28" i="4"/>
  <c r="Z116" i="4"/>
  <c r="Z110" i="4"/>
  <c r="Z122" i="4"/>
  <c r="Z109" i="4"/>
  <c r="Z119" i="4"/>
  <c r="Z105" i="4"/>
  <c r="Z113" i="4"/>
  <c r="Z121" i="4"/>
  <c r="Z106" i="4"/>
  <c r="Z114" i="4"/>
  <c r="Z120" i="4"/>
  <c r="M13" i="4"/>
  <c r="L10" i="25"/>
  <c r="Y10" i="25" s="1"/>
  <c r="Y7" i="25" s="1"/>
  <c r="H6" i="17" s="1"/>
  <c r="Y91" i="25"/>
  <c r="L76" i="25"/>
  <c r="Y76" i="25" s="1"/>
  <c r="L84" i="25"/>
  <c r="Y84" i="25" s="1"/>
  <c r="L81" i="25"/>
  <c r="Y81" i="25" s="1"/>
  <c r="L83" i="25"/>
  <c r="Y83" i="25" s="1"/>
  <c r="L77" i="25"/>
  <c r="Y77" i="25" s="1"/>
  <c r="L85" i="25"/>
  <c r="Y85" i="25" s="1"/>
  <c r="L74" i="25"/>
  <c r="Y74" i="25" s="1"/>
  <c r="L78" i="25"/>
  <c r="Y78" i="25" s="1"/>
  <c r="L86" i="25"/>
  <c r="Y86" i="25" s="1"/>
  <c r="L90" i="25"/>
  <c r="Y90" i="25" s="1"/>
  <c r="L79" i="25"/>
  <c r="Y79" i="25" s="1"/>
  <c r="L87" i="25"/>
  <c r="Y87" i="25" s="1"/>
  <c r="L73" i="25"/>
  <c r="Y73" i="25" s="1"/>
  <c r="L92" i="25"/>
  <c r="Y92" i="25" s="1"/>
  <c r="L72" i="25"/>
  <c r="Y72" i="25" s="1"/>
  <c r="L80" i="25"/>
  <c r="Y80" i="25" s="1"/>
  <c r="L88" i="25"/>
  <c r="Y88" i="25" s="1"/>
  <c r="L89" i="25"/>
  <c r="Y89" i="25" s="1"/>
  <c r="L82" i="25"/>
  <c r="Y82" i="25" s="1"/>
  <c r="L75" i="25"/>
  <c r="Y75" i="25" s="1"/>
  <c r="Z111" i="4"/>
  <c r="W27" i="25"/>
  <c r="W13" i="25" s="1"/>
  <c r="F12" i="17" s="1"/>
  <c r="Z115" i="4"/>
  <c r="Z25" i="4"/>
  <c r="Z104" i="4"/>
  <c r="Z112" i="4"/>
  <c r="Z124" i="4"/>
  <c r="Z117" i="4"/>
  <c r="Z107" i="4"/>
  <c r="Z118" i="4"/>
  <c r="Z108" i="4"/>
  <c r="Y78" i="4"/>
  <c r="Y10" i="4"/>
  <c r="Y13" i="4"/>
  <c r="M72" i="4"/>
  <c r="Z72" i="4" s="1"/>
  <c r="M77" i="4"/>
  <c r="Z77" i="4" s="1"/>
  <c r="M75" i="4"/>
  <c r="Z75" i="4" s="1"/>
  <c r="M74" i="4"/>
  <c r="Z74" i="4" s="1"/>
  <c r="M73" i="4"/>
  <c r="Z73" i="4" s="1"/>
  <c r="M76" i="4"/>
  <c r="Z76" i="4" s="1"/>
  <c r="M71" i="4"/>
  <c r="Z71" i="4" s="1"/>
  <c r="X46" i="25"/>
  <c r="M10" i="4"/>
  <c r="L26" i="25"/>
  <c r="Y26" i="25" s="1"/>
  <c r="L19" i="25"/>
  <c r="Y19" i="25" s="1"/>
  <c r="AA123" i="4"/>
  <c r="L44" i="25"/>
  <c r="Y44" i="25" s="1"/>
  <c r="L45" i="25"/>
  <c r="Y45" i="25" s="1"/>
  <c r="L41" i="25"/>
  <c r="Y41" i="25" s="1"/>
  <c r="L40" i="25"/>
  <c r="Y40" i="25" s="1"/>
  <c r="L39" i="25"/>
  <c r="Y39" i="25" s="1"/>
  <c r="L42" i="25"/>
  <c r="Y42" i="25" s="1"/>
  <c r="L43" i="25"/>
  <c r="Y43" i="25" s="1"/>
  <c r="M16" i="25"/>
  <c r="M91" i="25" s="1"/>
  <c r="X19" i="25"/>
  <c r="X27" i="25" s="1"/>
  <c r="Z20" i="25"/>
  <c r="Z22" i="25"/>
  <c r="Z21" i="25"/>
  <c r="Z16" i="4" l="1"/>
  <c r="Z28" i="4"/>
  <c r="AA106" i="4"/>
  <c r="AA114" i="4"/>
  <c r="AA122" i="4"/>
  <c r="AA109" i="4"/>
  <c r="AA117" i="4"/>
  <c r="AA107" i="4"/>
  <c r="AA115" i="4"/>
  <c r="AA113" i="4"/>
  <c r="AA108" i="4"/>
  <c r="AA116" i="4"/>
  <c r="AA110" i="4"/>
  <c r="AA118" i="4"/>
  <c r="AA121" i="4"/>
  <c r="AA111" i="4"/>
  <c r="AA119" i="4"/>
  <c r="AA104" i="4"/>
  <c r="AA112" i="4"/>
  <c r="AA120" i="4"/>
  <c r="AA105" i="4"/>
  <c r="N13" i="4"/>
  <c r="M10" i="25"/>
  <c r="Z10" i="25" s="1"/>
  <c r="Z7" i="25" s="1"/>
  <c r="I6" i="17" s="1"/>
  <c r="Z91" i="25"/>
  <c r="M75" i="25"/>
  <c r="Z75" i="25" s="1"/>
  <c r="M83" i="25"/>
  <c r="Z83" i="25" s="1"/>
  <c r="M92" i="25"/>
  <c r="Z92" i="25" s="1"/>
  <c r="M73" i="25"/>
  <c r="Z73" i="25" s="1"/>
  <c r="M89" i="25"/>
  <c r="Z89" i="25" s="1"/>
  <c r="M76" i="25"/>
  <c r="Z76" i="25" s="1"/>
  <c r="M84" i="25"/>
  <c r="Z84" i="25" s="1"/>
  <c r="M77" i="25"/>
  <c r="Z77" i="25" s="1"/>
  <c r="M85" i="25"/>
  <c r="Z85" i="25" s="1"/>
  <c r="M78" i="25"/>
  <c r="Z78" i="25" s="1"/>
  <c r="M86" i="25"/>
  <c r="Z86" i="25" s="1"/>
  <c r="M88" i="25"/>
  <c r="Z88" i="25" s="1"/>
  <c r="M81" i="25"/>
  <c r="Z81" i="25" s="1"/>
  <c r="M74" i="25"/>
  <c r="Z74" i="25" s="1"/>
  <c r="M79" i="25"/>
  <c r="Z79" i="25" s="1"/>
  <c r="M87" i="25"/>
  <c r="Z87" i="25" s="1"/>
  <c r="M72" i="25"/>
  <c r="Z72" i="25" s="1"/>
  <c r="M80" i="25"/>
  <c r="Z80" i="25" s="1"/>
  <c r="M82" i="25"/>
  <c r="Z82" i="25" s="1"/>
  <c r="M90" i="25"/>
  <c r="Z90" i="25" s="1"/>
  <c r="X93" i="25"/>
  <c r="X13" i="25" s="1"/>
  <c r="G12" i="17" s="1"/>
  <c r="Y93" i="25"/>
  <c r="Z33" i="4"/>
  <c r="AA124" i="4"/>
  <c r="AA25" i="4"/>
  <c r="AA33" i="4"/>
  <c r="Y27" i="25"/>
  <c r="Z78" i="4"/>
  <c r="N74" i="4"/>
  <c r="AA74" i="4" s="1"/>
  <c r="N72" i="4"/>
  <c r="AA72" i="4" s="1"/>
  <c r="N71" i="4"/>
  <c r="AA71" i="4" s="1"/>
  <c r="N73" i="4"/>
  <c r="AA73" i="4" s="1"/>
  <c r="N76" i="4"/>
  <c r="AA76" i="4" s="1"/>
  <c r="N77" i="4"/>
  <c r="AA77" i="4" s="1"/>
  <c r="N75" i="4"/>
  <c r="AA75" i="4" s="1"/>
  <c r="Z10" i="4"/>
  <c r="Z13" i="4"/>
  <c r="Y46" i="25"/>
  <c r="N10" i="4"/>
  <c r="AB123" i="4"/>
  <c r="N16" i="25"/>
  <c r="N91" i="25" s="1"/>
  <c r="M26" i="25"/>
  <c r="M19" i="25"/>
  <c r="Z19" i="25" s="1"/>
  <c r="M44" i="25"/>
  <c r="Z44" i="25" s="1"/>
  <c r="M45" i="25"/>
  <c r="Z45" i="25" s="1"/>
  <c r="M41" i="25"/>
  <c r="Z41" i="25" s="1"/>
  <c r="M40" i="25"/>
  <c r="Z40" i="25" s="1"/>
  <c r="M43" i="25"/>
  <c r="Z43" i="25" s="1"/>
  <c r="M39" i="25"/>
  <c r="Z39" i="25" s="1"/>
  <c r="M42" i="25"/>
  <c r="Z42" i="25" s="1"/>
  <c r="X125" i="4"/>
  <c r="Y125" i="4"/>
  <c r="AA22" i="25"/>
  <c r="AA20" i="25"/>
  <c r="AA21" i="25"/>
  <c r="AA16" i="4" l="1"/>
  <c r="AA28" i="4"/>
  <c r="AB105" i="4"/>
  <c r="AB113" i="4"/>
  <c r="AB106" i="4"/>
  <c r="AB114" i="4"/>
  <c r="AB122" i="4"/>
  <c r="AB108" i="4"/>
  <c r="AB104" i="4"/>
  <c r="AB107" i="4"/>
  <c r="AB115" i="4"/>
  <c r="AB116" i="4"/>
  <c r="AB117" i="4"/>
  <c r="AB110" i="4"/>
  <c r="AB118" i="4"/>
  <c r="AB111" i="4"/>
  <c r="AB119" i="4"/>
  <c r="AB112" i="4"/>
  <c r="AB120" i="4"/>
  <c r="O13" i="4"/>
  <c r="N10" i="25"/>
  <c r="AA10" i="25" s="1"/>
  <c r="AA7" i="25" s="1"/>
  <c r="J6" i="17" s="1"/>
  <c r="AA91" i="25"/>
  <c r="N74" i="25"/>
  <c r="AA74" i="25" s="1"/>
  <c r="N82" i="25"/>
  <c r="AA82" i="25" s="1"/>
  <c r="N90" i="25"/>
  <c r="AA90" i="25" s="1"/>
  <c r="N79" i="25"/>
  <c r="AA79" i="25" s="1"/>
  <c r="N87" i="25"/>
  <c r="AA87" i="25" s="1"/>
  <c r="N75" i="25"/>
  <c r="AA75" i="25" s="1"/>
  <c r="N83" i="25"/>
  <c r="AA83" i="25" s="1"/>
  <c r="N92" i="25"/>
  <c r="AA92" i="25" s="1"/>
  <c r="N80" i="25"/>
  <c r="AA80" i="25" s="1"/>
  <c r="N76" i="25"/>
  <c r="AA76" i="25" s="1"/>
  <c r="N84" i="25"/>
  <c r="AA84" i="25" s="1"/>
  <c r="N73" i="25"/>
  <c r="AA73" i="25" s="1"/>
  <c r="N89" i="25"/>
  <c r="AA89" i="25" s="1"/>
  <c r="N77" i="25"/>
  <c r="AA77" i="25" s="1"/>
  <c r="N85" i="25"/>
  <c r="AA85" i="25" s="1"/>
  <c r="N81" i="25"/>
  <c r="AA81" i="25" s="1"/>
  <c r="N78" i="25"/>
  <c r="AA78" i="25" s="1"/>
  <c r="N86" i="25"/>
  <c r="AA86" i="25" s="1"/>
  <c r="N72" i="25"/>
  <c r="AA72" i="25" s="1"/>
  <c r="N88" i="25"/>
  <c r="AA88" i="25" s="1"/>
  <c r="AB121" i="4"/>
  <c r="AB109" i="4"/>
  <c r="Y13" i="25"/>
  <c r="H12" i="17" s="1"/>
  <c r="AB124" i="4"/>
  <c r="AB25" i="4"/>
  <c r="AB33" i="4"/>
  <c r="AA78" i="4"/>
  <c r="O76" i="4"/>
  <c r="AB76" i="4" s="1"/>
  <c r="O72" i="4"/>
  <c r="AB72" i="4" s="1"/>
  <c r="O71" i="4"/>
  <c r="AB71" i="4" s="1"/>
  <c r="O74" i="4"/>
  <c r="AB74" i="4" s="1"/>
  <c r="O77" i="4"/>
  <c r="AB77" i="4" s="1"/>
  <c r="O75" i="4"/>
  <c r="AB75" i="4" s="1"/>
  <c r="O73" i="4"/>
  <c r="AB73" i="4" s="1"/>
  <c r="AA10" i="4"/>
  <c r="AA13" i="4"/>
  <c r="Z46" i="25"/>
  <c r="O10" i="4"/>
  <c r="N19" i="25"/>
  <c r="AA19" i="25" s="1"/>
  <c r="N26" i="25"/>
  <c r="AA26" i="25" s="1"/>
  <c r="N44" i="25"/>
  <c r="AA44" i="25" s="1"/>
  <c r="N41" i="25"/>
  <c r="AA41" i="25" s="1"/>
  <c r="N45" i="25"/>
  <c r="AA45" i="25" s="1"/>
  <c r="N43" i="25"/>
  <c r="AA43" i="25" s="1"/>
  <c r="N42" i="25"/>
  <c r="AA42" i="25" s="1"/>
  <c r="N40" i="25"/>
  <c r="AA40" i="25" s="1"/>
  <c r="N39" i="25"/>
  <c r="AA39" i="25" s="1"/>
  <c r="O16" i="25"/>
  <c r="O91" i="25" s="1"/>
  <c r="Z26" i="25"/>
  <c r="Z27" i="25" s="1"/>
  <c r="Z125" i="4"/>
  <c r="AB16" i="4" l="1"/>
  <c r="AB28" i="4"/>
  <c r="AC123" i="4"/>
  <c r="AD123" i="4" s="1"/>
  <c r="Q123" i="4"/>
  <c r="AC104" i="4"/>
  <c r="AC112" i="4"/>
  <c r="AC120" i="4"/>
  <c r="AC119" i="4"/>
  <c r="AC105" i="4"/>
  <c r="AC113" i="4"/>
  <c r="AC121" i="4"/>
  <c r="AC115" i="4"/>
  <c r="AC106" i="4"/>
  <c r="AC114" i="4"/>
  <c r="AC122" i="4"/>
  <c r="AC108" i="4"/>
  <c r="AC116" i="4"/>
  <c r="AC118" i="4"/>
  <c r="AC109" i="4"/>
  <c r="AC117" i="4"/>
  <c r="P13" i="4"/>
  <c r="Q13" i="4" s="1"/>
  <c r="O10" i="25"/>
  <c r="AB10" i="25" s="1"/>
  <c r="AB7" i="25" s="1"/>
  <c r="K6" i="17" s="1"/>
  <c r="AB91" i="25"/>
  <c r="O73" i="25"/>
  <c r="AB73" i="25" s="1"/>
  <c r="O81" i="25"/>
  <c r="AB81" i="25" s="1"/>
  <c r="O89" i="25"/>
  <c r="AB89" i="25" s="1"/>
  <c r="O74" i="25"/>
  <c r="AB74" i="25" s="1"/>
  <c r="O82" i="25"/>
  <c r="AB82" i="25" s="1"/>
  <c r="O90" i="25"/>
  <c r="AB90" i="25" s="1"/>
  <c r="O75" i="25"/>
  <c r="AB75" i="25" s="1"/>
  <c r="O83" i="25"/>
  <c r="AB83" i="25" s="1"/>
  <c r="O92" i="25"/>
  <c r="AB92" i="25" s="1"/>
  <c r="O80" i="25"/>
  <c r="AB80" i="25" s="1"/>
  <c r="O76" i="25"/>
  <c r="AB76" i="25" s="1"/>
  <c r="O84" i="25"/>
  <c r="AB84" i="25" s="1"/>
  <c r="O87" i="25"/>
  <c r="AB87" i="25" s="1"/>
  <c r="O88" i="25"/>
  <c r="AB88" i="25" s="1"/>
  <c r="O77" i="25"/>
  <c r="AB77" i="25" s="1"/>
  <c r="O85" i="25"/>
  <c r="AB85" i="25" s="1"/>
  <c r="O78" i="25"/>
  <c r="AB78" i="25" s="1"/>
  <c r="O86" i="25"/>
  <c r="AB86" i="25" s="1"/>
  <c r="O79" i="25"/>
  <c r="AB79" i="25" s="1"/>
  <c r="O72" i="25"/>
  <c r="AB72" i="25" s="1"/>
  <c r="Z93" i="25"/>
  <c r="Z13" i="25" s="1"/>
  <c r="I12" i="17" s="1"/>
  <c r="AA93" i="25"/>
  <c r="AB125" i="4"/>
  <c r="AC25" i="4"/>
  <c r="AC124" i="4"/>
  <c r="AC107" i="4"/>
  <c r="AB78" i="4"/>
  <c r="AA27" i="25"/>
  <c r="P75" i="4"/>
  <c r="AC75" i="4" s="1"/>
  <c r="P73" i="4"/>
  <c r="AC73" i="4" s="1"/>
  <c r="P76" i="4"/>
  <c r="AC76" i="4" s="1"/>
  <c r="P71" i="4"/>
  <c r="AC71" i="4" s="1"/>
  <c r="P77" i="4"/>
  <c r="AC77" i="4" s="1"/>
  <c r="P74" i="4"/>
  <c r="AC74" i="4" s="1"/>
  <c r="P72" i="4"/>
  <c r="AC72" i="4" s="1"/>
  <c r="AB10" i="4"/>
  <c r="AB13" i="4"/>
  <c r="Q22" i="4"/>
  <c r="Q16" i="25" s="1"/>
  <c r="Q43" i="25" s="1"/>
  <c r="AA46" i="25"/>
  <c r="P10" i="4"/>
  <c r="Q10" i="4" s="1"/>
  <c r="P16" i="25"/>
  <c r="P91" i="25" s="1"/>
  <c r="O19" i="25"/>
  <c r="AB19" i="25" s="1"/>
  <c r="O26" i="25"/>
  <c r="O45" i="25"/>
  <c r="O44" i="25"/>
  <c r="AB44" i="25" s="1"/>
  <c r="O41" i="25"/>
  <c r="AB41" i="25" s="1"/>
  <c r="O40" i="25"/>
  <c r="AB40" i="25" s="1"/>
  <c r="O43" i="25"/>
  <c r="AB43" i="25" s="1"/>
  <c r="O42" i="25"/>
  <c r="AB42" i="25" s="1"/>
  <c r="O39" i="25"/>
  <c r="AB39" i="25" s="1"/>
  <c r="AA125" i="4"/>
  <c r="AB20" i="25"/>
  <c r="AB21" i="25"/>
  <c r="AB22" i="25"/>
  <c r="AC21" i="25"/>
  <c r="AC20" i="25"/>
  <c r="AC22" i="25"/>
  <c r="AC16" i="4" l="1"/>
  <c r="AD16" i="4" s="1"/>
  <c r="AC28" i="4"/>
  <c r="Q122" i="4"/>
  <c r="P10" i="25"/>
  <c r="Q10" i="25" s="1"/>
  <c r="P72" i="25"/>
  <c r="AC72" i="25" s="1"/>
  <c r="P80" i="25"/>
  <c r="AC80" i="25" s="1"/>
  <c r="P88" i="25"/>
  <c r="P77" i="25"/>
  <c r="P73" i="25"/>
  <c r="AC73" i="25" s="1"/>
  <c r="P81" i="25"/>
  <c r="P89" i="25"/>
  <c r="AC89" i="25" s="1"/>
  <c r="P74" i="25"/>
  <c r="AC74" i="25" s="1"/>
  <c r="P82" i="25"/>
  <c r="AC82" i="25" s="1"/>
  <c r="P90" i="25"/>
  <c r="P85" i="25"/>
  <c r="AC85" i="25" s="1"/>
  <c r="P78" i="25"/>
  <c r="AC78" i="25" s="1"/>
  <c r="P86" i="25"/>
  <c r="P75" i="25"/>
  <c r="AC75" i="25" s="1"/>
  <c r="P83" i="25"/>
  <c r="AC83" i="25" s="1"/>
  <c r="P92" i="25"/>
  <c r="AC92" i="25" s="1"/>
  <c r="P76" i="25"/>
  <c r="AC76" i="25" s="1"/>
  <c r="P84" i="25"/>
  <c r="AC84" i="25" s="1"/>
  <c r="P79" i="25"/>
  <c r="AC79" i="25" s="1"/>
  <c r="P87" i="25"/>
  <c r="AC87" i="25" s="1"/>
  <c r="AC111" i="4"/>
  <c r="AD111" i="4" s="1"/>
  <c r="AC110" i="4"/>
  <c r="AD110" i="4" s="1"/>
  <c r="Q111" i="4"/>
  <c r="AD122" i="4"/>
  <c r="AD121" i="4"/>
  <c r="Q121" i="4"/>
  <c r="Q16" i="4"/>
  <c r="AD120" i="4"/>
  <c r="Q120" i="4"/>
  <c r="AD109" i="4"/>
  <c r="Q109" i="4"/>
  <c r="AD107" i="4"/>
  <c r="Q107" i="4"/>
  <c r="Q112" i="4"/>
  <c r="AD117" i="4"/>
  <c r="Q117" i="4"/>
  <c r="AD115" i="4"/>
  <c r="Q115" i="4"/>
  <c r="AD112" i="4"/>
  <c r="AC33" i="4"/>
  <c r="AD33" i="4" s="1"/>
  <c r="Q33" i="4"/>
  <c r="AD106" i="4"/>
  <c r="Q106" i="4"/>
  <c r="AD113" i="4"/>
  <c r="Q113" i="4"/>
  <c r="Q110" i="4"/>
  <c r="AD108" i="4"/>
  <c r="Q108" i="4"/>
  <c r="AD119" i="4"/>
  <c r="Q119" i="4"/>
  <c r="AD105" i="4"/>
  <c r="Q105" i="4"/>
  <c r="AD114" i="4"/>
  <c r="Q114" i="4"/>
  <c r="AD118" i="4"/>
  <c r="Q118" i="4"/>
  <c r="AA13" i="25"/>
  <c r="J12" i="17" s="1"/>
  <c r="Q71" i="4"/>
  <c r="AD74" i="4"/>
  <c r="Q74" i="4"/>
  <c r="AD76" i="4"/>
  <c r="Q76" i="4"/>
  <c r="AD72" i="4"/>
  <c r="Q72" i="4"/>
  <c r="AD73" i="4"/>
  <c r="Q73" i="4"/>
  <c r="AD77" i="4"/>
  <c r="Q77" i="4"/>
  <c r="AD75" i="4"/>
  <c r="Q75" i="4"/>
  <c r="AC10" i="4"/>
  <c r="AD10" i="4" s="1"/>
  <c r="AD124" i="4"/>
  <c r="AC13" i="4"/>
  <c r="AD13" i="4" s="1"/>
  <c r="AB45" i="25"/>
  <c r="AB46" i="25" s="1"/>
  <c r="AB26" i="25"/>
  <c r="AB27" i="25" s="1"/>
  <c r="P19" i="25"/>
  <c r="AC19" i="25" s="1"/>
  <c r="P26" i="25"/>
  <c r="AC26" i="25" s="1"/>
  <c r="P43" i="25"/>
  <c r="AC43" i="25" s="1"/>
  <c r="AD43" i="25" s="1"/>
  <c r="P40" i="25"/>
  <c r="AC40" i="25" s="1"/>
  <c r="AD40" i="25" s="1"/>
  <c r="P39" i="25"/>
  <c r="AC39" i="25" s="1"/>
  <c r="P41" i="25"/>
  <c r="AC41" i="25" s="1"/>
  <c r="AD41" i="25" s="1"/>
  <c r="P42" i="25"/>
  <c r="AC42" i="25" s="1"/>
  <c r="AD42" i="25" s="1"/>
  <c r="P45" i="25"/>
  <c r="AC45" i="25" s="1"/>
  <c r="P44" i="25"/>
  <c r="Q39" i="25"/>
  <c r="Q41" i="25"/>
  <c r="Q42" i="25"/>
  <c r="Q40" i="25"/>
  <c r="AD116" i="4"/>
  <c r="Q124" i="4"/>
  <c r="Q104" i="4"/>
  <c r="Q20" i="25"/>
  <c r="AD21" i="25"/>
  <c r="AD20" i="25"/>
  <c r="Q22" i="25"/>
  <c r="Q21" i="25"/>
  <c r="AD22" i="25"/>
  <c r="AC91" i="25" l="1"/>
  <c r="AD91" i="25" s="1"/>
  <c r="Q91" i="25"/>
  <c r="Q81" i="25"/>
  <c r="AC81" i="25"/>
  <c r="AD81" i="25" s="1"/>
  <c r="Q86" i="25"/>
  <c r="AC86" i="25"/>
  <c r="AD86" i="25" s="1"/>
  <c r="AC88" i="25"/>
  <c r="AD88" i="25" s="1"/>
  <c r="AC90" i="25"/>
  <c r="AD90" i="25" s="1"/>
  <c r="AC77" i="25"/>
  <c r="AD77" i="25" s="1"/>
  <c r="Q90" i="25"/>
  <c r="Q88" i="25"/>
  <c r="AD89" i="25"/>
  <c r="Q89" i="25"/>
  <c r="Q77" i="25"/>
  <c r="AD79" i="25"/>
  <c r="Q79" i="25"/>
  <c r="AD19" i="25"/>
  <c r="AC27" i="25"/>
  <c r="AD27" i="25" s="1"/>
  <c r="AD71" i="4"/>
  <c r="AD78" i="4" s="1"/>
  <c r="AC78" i="4"/>
  <c r="Q19" i="25"/>
  <c r="AD92" i="25"/>
  <c r="AD72" i="25"/>
  <c r="AD87" i="25"/>
  <c r="AD84" i="25"/>
  <c r="AD39" i="25"/>
  <c r="Q45" i="25"/>
  <c r="AD45" i="25"/>
  <c r="AD26" i="25"/>
  <c r="AD73" i="25"/>
  <c r="Q73" i="25"/>
  <c r="AD76" i="25"/>
  <c r="Q76" i="25"/>
  <c r="AD82" i="25"/>
  <c r="Q82" i="25"/>
  <c r="Q87" i="25"/>
  <c r="AD74" i="25"/>
  <c r="Q74" i="25"/>
  <c r="AC10" i="25"/>
  <c r="AC44" i="25"/>
  <c r="AD44" i="25" s="1"/>
  <c r="Q44" i="25"/>
  <c r="AD85" i="25"/>
  <c r="Q85" i="25"/>
  <c r="AD75" i="25"/>
  <c r="Q75" i="25"/>
  <c r="AD78" i="25"/>
  <c r="Q78" i="25"/>
  <c r="Q26" i="25"/>
  <c r="AD83" i="25"/>
  <c r="Q83" i="25"/>
  <c r="AD80" i="25"/>
  <c r="Q80" i="25"/>
  <c r="Q116" i="4"/>
  <c r="Q92" i="25"/>
  <c r="AB93" i="25"/>
  <c r="AB13" i="25" s="1"/>
  <c r="Q84" i="25"/>
  <c r="Q72" i="25"/>
  <c r="AC46" i="25" l="1"/>
  <c r="AD46" i="25" s="1"/>
  <c r="AC93" i="25"/>
  <c r="AD10" i="25"/>
  <c r="AC7" i="25"/>
  <c r="L6" i="17" s="1"/>
  <c r="AC125" i="4"/>
  <c r="AD104" i="4"/>
  <c r="K12" i="17"/>
  <c r="Q26" i="4"/>
  <c r="Q27" i="4"/>
  <c r="Q32" i="4"/>
  <c r="Q28" i="4"/>
  <c r="Q29" i="4"/>
  <c r="Q30" i="4"/>
  <c r="Q31" i="4"/>
  <c r="Q25" i="4"/>
  <c r="AD93" i="25" l="1"/>
  <c r="AC13" i="25"/>
  <c r="L12" i="17" s="1"/>
  <c r="B12" i="17" s="1"/>
  <c r="AD125" i="4"/>
  <c r="AD7" i="25"/>
  <c r="C17" i="2" s="1"/>
  <c r="E24" i="2" l="1"/>
  <c r="AD13" i="25"/>
  <c r="E31" i="2" l="1"/>
  <c r="AD25" i="4"/>
  <c r="S29" i="4" l="1"/>
  <c r="T29" i="4" s="1"/>
  <c r="Y29" i="4" l="1"/>
  <c r="Z29" i="4"/>
  <c r="AA29" i="4"/>
  <c r="AB29" i="4"/>
  <c r="AC29" i="4"/>
  <c r="V29" i="4"/>
  <c r="W29" i="4"/>
  <c r="X29" i="4"/>
  <c r="U29" i="4"/>
  <c r="S30" i="4"/>
  <c r="T30" i="4" s="1"/>
  <c r="S31" i="4"/>
  <c r="T31" i="4" s="1"/>
  <c r="AD28" i="4" l="1"/>
  <c r="AD29" i="4"/>
  <c r="Z30" i="4"/>
  <c r="AA30" i="4"/>
  <c r="AB30" i="4"/>
  <c r="AC30" i="4"/>
  <c r="U30" i="4"/>
  <c r="V30" i="4"/>
  <c r="X30" i="4"/>
  <c r="Y30" i="4"/>
  <c r="W30" i="4"/>
  <c r="AA31" i="4"/>
  <c r="AC31" i="4"/>
  <c r="U31" i="4"/>
  <c r="V31" i="4"/>
  <c r="X31" i="4"/>
  <c r="Y31" i="4"/>
  <c r="Z31" i="4"/>
  <c r="AB31" i="4"/>
  <c r="W31" i="4"/>
  <c r="AD30" i="4" l="1"/>
  <c r="AD31" i="4"/>
  <c r="S26" i="4"/>
  <c r="X26" i="4" l="1"/>
  <c r="AB26" i="4"/>
  <c r="AB34" i="4" s="1"/>
  <c r="Y26" i="4"/>
  <c r="Y34" i="4" s="1"/>
  <c r="W26" i="4"/>
  <c r="W34" i="4" s="1"/>
  <c r="Z26" i="4"/>
  <c r="Z34" i="4" s="1"/>
  <c r="AA26" i="4"/>
  <c r="AA34" i="4" s="1"/>
  <c r="U26" i="4"/>
  <c r="U34" i="4" s="1"/>
  <c r="AC26" i="4"/>
  <c r="AC34" i="4" s="1"/>
  <c r="V26" i="4"/>
  <c r="T26" i="4"/>
  <c r="T34" i="4" s="1"/>
  <c r="V34" i="4"/>
  <c r="V7" i="4" s="1"/>
  <c r="X34" i="4"/>
  <c r="AD27" i="4"/>
  <c r="AD26" i="4" l="1"/>
  <c r="AD34" i="4" s="1"/>
  <c r="AD19" i="4" s="1"/>
  <c r="C36" i="2" s="1"/>
  <c r="V19" i="4"/>
  <c r="W7" i="4"/>
  <c r="W19" i="4"/>
  <c r="AB7" i="4"/>
  <c r="AB19" i="4"/>
  <c r="Y7" i="4"/>
  <c r="Y19" i="4"/>
  <c r="Z7" i="4"/>
  <c r="Z19" i="4"/>
  <c r="U19" i="4"/>
  <c r="U7" i="4"/>
  <c r="T19" i="4"/>
  <c r="T7" i="4"/>
  <c r="X7" i="4"/>
  <c r="X19" i="4"/>
  <c r="AA19" i="4"/>
  <c r="AA7" i="4"/>
  <c r="AC19" i="4"/>
  <c r="AC7" i="4"/>
  <c r="A31" i="2" l="1"/>
  <c r="C31" i="2"/>
  <c r="C13" i="17"/>
  <c r="C14" i="17" s="1"/>
  <c r="C15" i="17" s="1"/>
  <c r="B6" i="17"/>
  <c r="I7" i="17" l="1"/>
  <c r="I8" i="17" s="1"/>
  <c r="I13" i="17"/>
  <c r="I14" i="17" s="1"/>
  <c r="I15" i="17" s="1"/>
  <c r="J7" i="17"/>
  <c r="J8" i="17" s="1"/>
  <c r="J13" i="17"/>
  <c r="J14" i="17" s="1"/>
  <c r="J15" i="17" s="1"/>
  <c r="L7" i="17"/>
  <c r="L8" i="17" s="1"/>
  <c r="L13" i="17"/>
  <c r="L14" i="17" s="1"/>
  <c r="L15" i="17" s="1"/>
  <c r="E7" i="17"/>
  <c r="E8" i="17" s="1"/>
  <c r="E13" i="17"/>
  <c r="E14" i="17" s="1"/>
  <c r="E15" i="17" s="1"/>
  <c r="F7" i="17"/>
  <c r="F8" i="17" s="1"/>
  <c r="F13" i="17"/>
  <c r="F14" i="17" s="1"/>
  <c r="F15" i="17" s="1"/>
  <c r="G7" i="17"/>
  <c r="G8" i="17" s="1"/>
  <c r="G13" i="17"/>
  <c r="G14" i="17" s="1"/>
  <c r="G15" i="17" s="1"/>
  <c r="H7" i="17"/>
  <c r="H8" i="17" s="1"/>
  <c r="H13" i="17"/>
  <c r="H14" i="17" s="1"/>
  <c r="H15" i="17" s="1"/>
  <c r="K7" i="17"/>
  <c r="K8" i="17" s="1"/>
  <c r="K13" i="17"/>
  <c r="K14" i="17" s="1"/>
  <c r="K15" i="17" s="1"/>
  <c r="D7" i="17"/>
  <c r="D8" i="17" s="1"/>
  <c r="D13" i="17"/>
  <c r="C7" i="17"/>
  <c r="E9" i="17" l="1"/>
  <c r="K9" i="17"/>
  <c r="L9" i="17"/>
  <c r="H9" i="17"/>
  <c r="I9" i="17"/>
  <c r="J9" i="17"/>
  <c r="B13" i="17"/>
  <c r="B14" i="17" s="1"/>
  <c r="B15" i="17" s="1"/>
  <c r="D14" i="17"/>
  <c r="D15" i="17" s="1"/>
  <c r="G9" i="17"/>
  <c r="D9" i="17"/>
  <c r="F9" i="17"/>
  <c r="AD7" i="4"/>
  <c r="E17" i="2" s="1"/>
  <c r="B7" i="17"/>
  <c r="B8" i="17" s="1"/>
  <c r="C8" i="17"/>
  <c r="C9" i="17" l="1"/>
  <c r="A17" i="2"/>
  <c r="B9" i="17"/>
  <c r="C24" i="2" l="1"/>
  <c r="A24" i="2" s="1"/>
</calcChain>
</file>

<file path=xl/sharedStrings.xml><?xml version="1.0" encoding="utf-8"?>
<sst xmlns="http://schemas.openxmlformats.org/spreadsheetml/2006/main" count="1938" uniqueCount="897">
  <si>
    <t>Source</t>
  </si>
  <si>
    <t>=</t>
  </si>
  <si>
    <t>-</t>
  </si>
  <si>
    <t>Data / Parameter</t>
  </si>
  <si>
    <t>Data unit</t>
  </si>
  <si>
    <t>Description</t>
  </si>
  <si>
    <t>Source of data</t>
  </si>
  <si>
    <t>Assumption / Comment</t>
  </si>
  <si>
    <r>
      <t>EF</t>
    </r>
    <r>
      <rPr>
        <vertAlign val="subscript"/>
        <sz val="10"/>
        <color theme="1"/>
        <rFont val="Arial"/>
        <family val="2"/>
      </rPr>
      <t>NG</t>
    </r>
  </si>
  <si>
    <t>Emission factor for combustion of natural gas</t>
  </si>
  <si>
    <t>COMMISSION DELEGATED REGULATION (EU) 2018/2066 of 19 December 2018, annex VI</t>
  </si>
  <si>
    <r>
      <t>Assumes density of 800 g / m</t>
    </r>
    <r>
      <rPr>
        <vertAlign val="superscript"/>
        <sz val="10"/>
        <color theme="1"/>
        <rFont val="Arial"/>
        <family val="2"/>
      </rPr>
      <t xml:space="preserve">3 </t>
    </r>
  </si>
  <si>
    <r>
      <t>EF</t>
    </r>
    <r>
      <rPr>
        <vertAlign val="subscript"/>
        <sz val="10"/>
        <color theme="1"/>
        <rFont val="Arial"/>
        <family val="2"/>
      </rPr>
      <t>gasoline</t>
    </r>
  </si>
  <si>
    <t>Emission factor for the combustion of gasoline</t>
  </si>
  <si>
    <t>LHV = 44,3 TJ/tonne or MJ/kg</t>
  </si>
  <si>
    <r>
      <t>EF</t>
    </r>
    <r>
      <rPr>
        <vertAlign val="subscript"/>
        <sz val="10"/>
        <color theme="1"/>
        <rFont val="Arial"/>
        <family val="2"/>
      </rPr>
      <t>diesel</t>
    </r>
  </si>
  <si>
    <t>Emission factor for the combustion of diesel</t>
  </si>
  <si>
    <t>Based on EF and NCV from 2006 IPCC Guidelines for National Greenhouse Gas Inventories. Volume 2. Energy. Available at: https://www.ipcc-nggip.iges.or.jp/public/2006gl/vol2.html</t>
  </si>
  <si>
    <t>No biofuel blend. Diesel oil. Assumes density of 840 g / litre</t>
  </si>
  <si>
    <t>Unit</t>
  </si>
  <si>
    <t>Year 1</t>
  </si>
  <si>
    <t>Year 2</t>
  </si>
  <si>
    <t>Year 3</t>
  </si>
  <si>
    <t>Year 4</t>
  </si>
  <si>
    <t>Year 5</t>
  </si>
  <si>
    <t>Year 6</t>
  </si>
  <si>
    <t>Year 7</t>
  </si>
  <si>
    <t>Year 8</t>
  </si>
  <si>
    <t>Year 9</t>
  </si>
  <si>
    <t>Year 10</t>
  </si>
  <si>
    <t>Comments</t>
  </si>
  <si>
    <t>t CO2e</t>
  </si>
  <si>
    <t xml:space="preserve">Data traceability </t>
  </si>
  <si>
    <t>Brief description</t>
  </si>
  <si>
    <t>Data source</t>
  </si>
  <si>
    <t>GHG Emissions</t>
  </si>
  <si>
    <t>Colour code</t>
  </si>
  <si>
    <t>Enter data</t>
  </si>
  <si>
    <t>Calculated data</t>
  </si>
  <si>
    <t>Select an option</t>
  </si>
  <si>
    <t>Please provide additional information</t>
  </si>
  <si>
    <t>General plant information</t>
  </si>
  <si>
    <t>Start of operations</t>
  </si>
  <si>
    <t>Comment</t>
  </si>
  <si>
    <t>Reliability</t>
  </si>
  <si>
    <t>Using the spreadsheet</t>
  </si>
  <si>
    <t>No biofuel blend. Motor gasoline. Assumes density of 742 g / litre. gasoline EF is 69.3 gCO2/MJ. LHV is 44.3 MJ/kg</t>
  </si>
  <si>
    <t>General information</t>
  </si>
  <si>
    <r>
      <t>∆GHG</t>
    </r>
    <r>
      <rPr>
        <vertAlign val="subscript"/>
        <sz val="10"/>
        <color rgb="FF000000"/>
        <rFont val="Arial"/>
        <family val="2"/>
      </rPr>
      <t>abs</t>
    </r>
  </si>
  <si>
    <t>Relative GHG Emissions Avoidance</t>
  </si>
  <si>
    <r>
      <t>∆GHG</t>
    </r>
    <r>
      <rPr>
        <vertAlign val="subscript"/>
        <sz val="10"/>
        <color rgb="FF000000"/>
        <rFont val="Arial"/>
        <family val="2"/>
      </rPr>
      <t>rel</t>
    </r>
  </si>
  <si>
    <t>Structure</t>
  </si>
  <si>
    <t>The spreadsheet is divided into tabs according to its contents and purposes</t>
  </si>
  <si>
    <t>Summary</t>
  </si>
  <si>
    <t>Provides an overview of the spreadsheet for monitoring and reporting GHG avoided during the project's operation</t>
  </si>
  <si>
    <t>The cells are color-coded to guide the user. Captions are on the sheets where data entry is required.</t>
  </si>
  <si>
    <t>t CO2e / [unit]</t>
  </si>
  <si>
    <t xml:space="preserve">Parameter monitored </t>
  </si>
  <si>
    <t>Sub-source</t>
  </si>
  <si>
    <t>÷</t>
  </si>
  <si>
    <t>[Please specify]</t>
  </si>
  <si>
    <r>
      <t>EF</t>
    </r>
    <r>
      <rPr>
        <vertAlign val="subscript"/>
        <sz val="10"/>
        <color theme="1"/>
        <rFont val="Arial"/>
        <family val="2"/>
      </rPr>
      <t>heavyoil</t>
    </r>
  </si>
  <si>
    <t>Emission factor for combustion of heavy fuel oil</t>
  </si>
  <si>
    <t>Based on 2006 IPCC Guidelines for National Greenhouse Gas Inventories. Available at: https://www.ipcc-nggip.iges.or.jp/public/2006gl/vol2.html</t>
  </si>
  <si>
    <t>Projected operational data</t>
  </si>
  <si>
    <t>Assumes NCV = 40.2 GJ/tonne</t>
  </si>
  <si>
    <t>Proposed value</t>
  </si>
  <si>
    <t>Contains data and calculation of greenhouse gas emissions related to the reference scenario, and data traceability information.</t>
  </si>
  <si>
    <t>Contains data and calculation of greenhouse gas emissions related to the project activity, and data traceability information.</t>
  </si>
  <si>
    <t/>
  </si>
  <si>
    <t>Electricity</t>
  </si>
  <si>
    <t>Heat</t>
  </si>
  <si>
    <t>Hydrogen</t>
  </si>
  <si>
    <t>%</t>
  </si>
  <si>
    <t>Monitoring frequency</t>
  </si>
  <si>
    <t>QA/QC Procedures</t>
  </si>
  <si>
    <t>TJ</t>
  </si>
  <si>
    <t>Starting point for determination of annual reduction rate for benchmark value update not yet defined</t>
  </si>
  <si>
    <r>
      <t>t CO</t>
    </r>
    <r>
      <rPr>
        <vertAlign val="subscript"/>
        <sz val="10"/>
        <color theme="1"/>
        <rFont val="Arial"/>
        <family val="2"/>
      </rPr>
      <t>2</t>
    </r>
    <r>
      <rPr>
        <sz val="10"/>
        <color theme="1"/>
        <rFont val="Arial"/>
        <family val="2"/>
      </rPr>
      <t>e / TJ</t>
    </r>
  </si>
  <si>
    <t>Emission benchmark for generating hydrogen under the ETS</t>
  </si>
  <si>
    <t xml:space="preserve">Emission benchmark for generating heat under the ETS </t>
  </si>
  <si>
    <t>By assumption</t>
  </si>
  <si>
    <t>Energy type/Gas</t>
  </si>
  <si>
    <t>HISTORY OF CHANGES</t>
  </si>
  <si>
    <t>Version</t>
  </si>
  <si>
    <t>Publication date</t>
  </si>
  <si>
    <t>Changes</t>
  </si>
  <si>
    <t>Initial version</t>
  </si>
  <si>
    <t>Assumptions</t>
  </si>
  <si>
    <t>Applicants are expected to provide detailed, complete and transparent documentation of the parameters used in the calculations and data sources.</t>
  </si>
  <si>
    <r>
      <rPr>
        <i/>
        <sz val="11"/>
        <rFont val="Arial"/>
        <family val="2"/>
      </rPr>
      <t xml:space="preserve">Transparency relates to the degree to which information on the processes, procedures, assumptions, and limitations of the GHG </t>
    </r>
    <r>
      <rPr>
        <sz val="11"/>
        <rFont val="Arial"/>
        <family val="2"/>
      </rPr>
      <t>quantification</t>
    </r>
    <r>
      <rPr>
        <i/>
        <sz val="11"/>
        <rFont val="Arial"/>
        <family val="2"/>
      </rPr>
      <t xml:space="preserve">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t>
    </r>
    <r>
      <rPr>
        <sz val="11"/>
        <rFont val="Arial"/>
        <family val="2"/>
      </rPr>
      <t xml:space="preserve">.  (GHG Accounting Protocol)
</t>
    </r>
    <r>
      <rPr>
        <b/>
        <sz val="11"/>
        <color rgb="FFFF0000"/>
        <rFont val="Calibri"/>
        <family val="2"/>
        <scheme val="minor"/>
      </rPr>
      <t/>
    </r>
  </si>
  <si>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</si>
  <si>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</si>
  <si>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</si>
  <si>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</si>
  <si>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</si>
  <si>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Area / Department responsible</t>
  </si>
  <si>
    <t>[add or exclude rows and columns, as needed]</t>
  </si>
  <si>
    <t>Qualitative assumptions</t>
  </si>
  <si>
    <r>
      <rPr>
        <sz val="10"/>
        <color rgb="FFFFFFFF"/>
        <rFont val="Arial"/>
        <family val="2"/>
      </rPr>
      <t xml:space="preserve"> If applicable,</t>
    </r>
    <r>
      <rPr>
        <b/>
        <sz val="10"/>
        <color rgb="FFFFFFFF"/>
        <rFont val="Arial"/>
        <family val="2"/>
      </rPr>
      <t xml:space="preserve"> equipment used for monitoring, including details on accuracy and calibration</t>
    </r>
  </si>
  <si>
    <t xml:space="preserve">Additional description of the monitoring system </t>
  </si>
  <si>
    <t>Value</t>
  </si>
  <si>
    <r>
      <t>Data traceability,</t>
    </r>
    <r>
      <rPr>
        <sz val="10"/>
        <color rgb="FFFFFFFF"/>
        <rFont val="Arial"/>
        <family val="2"/>
      </rPr>
      <t xml:space="preserve"> for alternative or supplementary data</t>
    </r>
  </si>
  <si>
    <t>Contains all the qualitative and quantitative assumptions adopted by the applicant in support of their submission.</t>
  </si>
  <si>
    <t>Key indicators</t>
  </si>
  <si>
    <t>Natural gas</t>
  </si>
  <si>
    <t>Heavy fuel oil</t>
  </si>
  <si>
    <t>ton</t>
  </si>
  <si>
    <t>Diesel</t>
  </si>
  <si>
    <t>litres</t>
  </si>
  <si>
    <t>Gasoline</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</si>
  <si>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</si>
  <si>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Area / Department responsible for collection and archiving</t>
  </si>
  <si>
    <t>COMMISSION IMPLEMENTING REGULATION (EU) 2021/447 of 12 March 2021</t>
  </si>
  <si>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</si>
  <si>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t>Summary per year</t>
  </si>
  <si>
    <t>Total</t>
  </si>
  <si>
    <t>Year 1 (t CO2e)</t>
  </si>
  <si>
    <t>Year 2 (t CO2e)</t>
  </si>
  <si>
    <t>Year 3 (t CO2e)</t>
  </si>
  <si>
    <t>Year 4 (t CO2e)</t>
  </si>
  <si>
    <t>Year 5 (t CO2e)</t>
  </si>
  <si>
    <t>Year 6 (t CO2e)</t>
  </si>
  <si>
    <t>Year 7 (t CO2e)</t>
  </si>
  <si>
    <t>Year 8 (t CO2e)</t>
  </si>
  <si>
    <t>Year 9 (t CO2e)</t>
  </si>
  <si>
    <t>Year 10 (t CO2e)</t>
  </si>
  <si>
    <t>The relative GHG emission avoidance is expressed in percent.</t>
  </si>
  <si>
    <t>TOT</t>
  </si>
  <si>
    <t>No data entry required</t>
  </si>
  <si>
    <t xml:space="preserve">Reporting table </t>
  </si>
  <si>
    <t>To be filled only at the time of monitoring and reporting. Contains the description and explanation of the deviations between the absolute GHG emission avoidance measured and reported during the first 10 years of operation, and the estimated absolute GHG emission avoidance potential.</t>
  </si>
  <si>
    <t>Energy efficiency ratio for electrical vehicle compared to diesel ICE</t>
  </si>
  <si>
    <t>Assuming a three times higher efficiency of electric motors compared to combustion engines.</t>
  </si>
  <si>
    <r>
      <t>Li</t>
    </r>
    <r>
      <rPr>
        <vertAlign val="subscript"/>
        <sz val="10"/>
        <color theme="1"/>
        <rFont val="Arial"/>
        <family val="2"/>
      </rPr>
      <t>in</t>
    </r>
  </si>
  <si>
    <t>Weight</t>
  </si>
  <si>
    <r>
      <t>Al</t>
    </r>
    <r>
      <rPr>
        <vertAlign val="subscript"/>
        <sz val="10"/>
        <color theme="1"/>
        <rFont val="Arial"/>
        <family val="2"/>
      </rPr>
      <t>in</t>
    </r>
  </si>
  <si>
    <r>
      <t>Si</t>
    </r>
    <r>
      <rPr>
        <vertAlign val="subscript"/>
        <sz val="10"/>
        <color theme="1"/>
        <rFont val="Arial"/>
        <family val="2"/>
      </rPr>
      <t>in</t>
    </r>
  </si>
  <si>
    <r>
      <t>Ti</t>
    </r>
    <r>
      <rPr>
        <vertAlign val="subscript"/>
        <sz val="10"/>
        <color theme="1"/>
        <rFont val="Arial"/>
        <family val="2"/>
      </rPr>
      <t>in</t>
    </r>
  </si>
  <si>
    <r>
      <t>V</t>
    </r>
    <r>
      <rPr>
        <vertAlign val="subscript"/>
        <sz val="10"/>
        <color theme="1"/>
        <rFont val="Arial"/>
        <family val="2"/>
      </rPr>
      <t>in</t>
    </r>
  </si>
  <si>
    <r>
      <t>Mn</t>
    </r>
    <r>
      <rPr>
        <vertAlign val="subscript"/>
        <sz val="10"/>
        <color theme="1"/>
        <rFont val="Arial"/>
        <family val="2"/>
      </rPr>
      <t>in</t>
    </r>
  </si>
  <si>
    <r>
      <t>Fe</t>
    </r>
    <r>
      <rPr>
        <vertAlign val="subscript"/>
        <sz val="10"/>
        <color theme="1"/>
        <rFont val="Arial"/>
        <family val="2"/>
      </rPr>
      <t>in</t>
    </r>
  </si>
  <si>
    <r>
      <t>Co</t>
    </r>
    <r>
      <rPr>
        <vertAlign val="subscript"/>
        <sz val="10"/>
        <color theme="1"/>
        <rFont val="Arial"/>
        <family val="2"/>
      </rPr>
      <t>in</t>
    </r>
  </si>
  <si>
    <r>
      <t>Ni</t>
    </r>
    <r>
      <rPr>
        <vertAlign val="subscript"/>
        <sz val="10"/>
        <color theme="1"/>
        <rFont val="Arial"/>
        <family val="2"/>
      </rPr>
      <t>in</t>
    </r>
  </si>
  <si>
    <r>
      <t>Cu</t>
    </r>
    <r>
      <rPr>
        <vertAlign val="subscript"/>
        <sz val="10"/>
        <color theme="1"/>
        <rFont val="Arial"/>
        <family val="2"/>
      </rPr>
      <t>in</t>
    </r>
  </si>
  <si>
    <r>
      <t>Zn</t>
    </r>
    <r>
      <rPr>
        <vertAlign val="subscript"/>
        <sz val="10"/>
        <color theme="1"/>
        <rFont val="Arial"/>
        <family val="2"/>
      </rPr>
      <t>in</t>
    </r>
  </si>
  <si>
    <r>
      <t>S</t>
    </r>
    <r>
      <rPr>
        <vertAlign val="subscript"/>
        <sz val="10"/>
        <color theme="1"/>
        <rFont val="Arial"/>
        <family val="2"/>
      </rPr>
      <t>in</t>
    </r>
  </si>
  <si>
    <r>
      <t>Na</t>
    </r>
    <r>
      <rPr>
        <vertAlign val="subscript"/>
        <sz val="10"/>
        <color theme="1"/>
        <rFont val="Arial"/>
        <family val="2"/>
      </rPr>
      <t>in</t>
    </r>
  </si>
  <si>
    <r>
      <t>F</t>
    </r>
    <r>
      <rPr>
        <vertAlign val="subscript"/>
        <sz val="10"/>
        <color theme="1"/>
        <rFont val="Arial"/>
        <family val="2"/>
      </rPr>
      <t>in</t>
    </r>
  </si>
  <si>
    <t>Cathode active material (Li/Na containing for LIB/SIB)</t>
  </si>
  <si>
    <t>Cathode precursor (Not containing Li/Na for LIB/SIB)</t>
  </si>
  <si>
    <t>Anode active material</t>
  </si>
  <si>
    <t>Separator (Organic or ceramic)</t>
  </si>
  <si>
    <t>Electrolyte (liquid or solid)</t>
  </si>
  <si>
    <t>kWh</t>
  </si>
  <si>
    <t>Storage capacity</t>
  </si>
  <si>
    <t>amount of any other energy consumed by the project</t>
  </si>
  <si>
    <t>Specific emissions</t>
  </si>
  <si>
    <t>Subtotal</t>
  </si>
  <si>
    <t>Subtotal of raw material emissions</t>
  </si>
  <si>
    <t>Battery capacity in a BEV</t>
  </si>
  <si>
    <t>distance driven by car per year</t>
  </si>
  <si>
    <t>BEV electricity consumption</t>
  </si>
  <si>
    <t>Diesel reference with diesel production</t>
  </si>
  <si>
    <t>Diesel consumed in reference scenario cars</t>
  </si>
  <si>
    <t>.</t>
  </si>
  <si>
    <r>
      <t>Carbons</t>
    </r>
    <r>
      <rPr>
        <vertAlign val="subscript"/>
        <sz val="10"/>
        <color theme="1"/>
        <rFont val="Arial"/>
        <family val="2"/>
      </rPr>
      <t>in</t>
    </r>
  </si>
  <si>
    <t>Energy consumption cell production</t>
  </si>
  <si>
    <t>Energy consumption CAM production</t>
  </si>
  <si>
    <t>Energy consumption pCAM production</t>
  </si>
  <si>
    <t>Energy consumption AAM production</t>
  </si>
  <si>
    <t>Emissions not originating from energy consumption cell production</t>
  </si>
  <si>
    <t>Emissions not originating from energy consumption CAM production</t>
  </si>
  <si>
    <t>Emissions not originating from energy consumption pCAM production</t>
  </si>
  <si>
    <t>Emissions not originating from energy consumption AAM production</t>
  </si>
  <si>
    <t>Share</t>
  </si>
  <si>
    <t>Al-Current collector foils</t>
  </si>
  <si>
    <r>
      <t>Share of electricity sourced with a</t>
    </r>
    <r>
      <rPr>
        <b/>
        <sz val="10"/>
        <color rgb="FF000000"/>
        <rFont val="Arial"/>
        <family val="2"/>
      </rPr>
      <t xml:space="preserve"> PPA or direct connection</t>
    </r>
    <r>
      <rPr>
        <sz val="10"/>
        <color rgb="FF000000"/>
        <rFont val="Arial"/>
        <family val="2"/>
      </rPr>
      <t xml:space="preserve"> eligible for zero rated electriciity</t>
    </r>
  </si>
  <si>
    <t>Share of cathode active material produced as part of the project</t>
  </si>
  <si>
    <t>Share of anode active material produced as part of the project</t>
  </si>
  <si>
    <t>Share of electrolyte produced as part of the project</t>
  </si>
  <si>
    <t>Share of separator produced as part of the project</t>
  </si>
  <si>
    <t>Specific use</t>
  </si>
  <si>
    <t>Cathode active material used per battery storage produced</t>
  </si>
  <si>
    <t>Separator used per battery storage produced</t>
  </si>
  <si>
    <t>Share of cathode precursor material produced as part of the project</t>
  </si>
  <si>
    <t>Cathode precursor material used per cathode active material for the battery cells produced by the project</t>
  </si>
  <si>
    <t>Subtotal of energy related emissions</t>
  </si>
  <si>
    <t>Subtotal of emissions related to upstream components imported to the cell production of the project</t>
  </si>
  <si>
    <t>Emissions of cathode precursor material not produced within project scope. Default is assumed if nothing is specified.</t>
  </si>
  <si>
    <t>Emissions of cathode active material not produced within project scope. Default is assumed if nothing is specified.</t>
  </si>
  <si>
    <t>Emissions of anode active material not produced within project scope. Default is assumed if nothing is specified.</t>
  </si>
  <si>
    <t>Emissions of electrolyte not produced within project scope. Default is assumed if nothing is specified.</t>
  </si>
  <si>
    <t>Emissions of separator not produced within project scope. Default is assumed if nothing is specified.</t>
  </si>
  <si>
    <t>Share of electricity</t>
  </si>
  <si>
    <t>energy storage capacity produced by the battery cells produced in the project</t>
  </si>
  <si>
    <t>Number of battery packs produced from the battery cells produced in the project. No user input required.</t>
  </si>
  <si>
    <t>End-of-life emissions of battery cells produced in the project. No user inpiut required.</t>
  </si>
  <si>
    <t>Electricity consumed by BEV cars in project time. No user input required.</t>
  </si>
  <si>
    <r>
      <t>kg CO</t>
    </r>
    <r>
      <rPr>
        <vertAlign val="subscript"/>
        <sz val="10"/>
        <color theme="1"/>
        <rFont val="Arial"/>
        <family val="2"/>
      </rPr>
      <t>2</t>
    </r>
    <r>
      <rPr>
        <sz val="10"/>
        <color theme="1"/>
        <rFont val="Arial"/>
        <family val="2"/>
      </rPr>
      <t>e / kg</t>
    </r>
  </si>
  <si>
    <r>
      <t>kg CO</t>
    </r>
    <r>
      <rPr>
        <vertAlign val="subscript"/>
        <sz val="10"/>
        <color theme="1"/>
        <rFont val="Arial"/>
        <family val="2"/>
      </rPr>
      <t>2</t>
    </r>
    <r>
      <rPr>
        <sz val="10"/>
        <color theme="1"/>
        <rFont val="Arial"/>
        <family val="2"/>
      </rPr>
      <t>e / kWh</t>
    </r>
  </si>
  <si>
    <t>kWh / km</t>
  </si>
  <si>
    <t>kWh / kWh</t>
  </si>
  <si>
    <t>km / year</t>
  </si>
  <si>
    <t>TJ / kWh</t>
  </si>
  <si>
    <t>kg / kg</t>
  </si>
  <si>
    <t>t / MWh</t>
  </si>
  <si>
    <t>kWh / kg</t>
  </si>
  <si>
    <t>Anode active material used per battery storage produced</t>
  </si>
  <si>
    <t>Electrolytel used per battery storage produced</t>
  </si>
  <si>
    <r>
      <t>Relative GHG emissions avoided due to operation of the project during the first 10 years of operation, in percent.</t>
    </r>
    <r>
      <rPr>
        <b/>
        <sz val="10"/>
        <color theme="1"/>
        <rFont val="Arial"/>
        <family val="2"/>
      </rPr>
      <t xml:space="preserve"> </t>
    </r>
  </si>
  <si>
    <t xml:space="preserve">Subtotal of emissions related to upstream components </t>
  </si>
  <si>
    <t>pCAM/CAM ratio in kg/kg</t>
  </si>
  <si>
    <t>Ecoinvent DB, 27939</t>
  </si>
  <si>
    <t>IEA 2021, Al mining and processing https://www.iea.org/data-and-statistics/charts/average-ghg-emissions-intensity-for-production-of-selected-commodities</t>
  </si>
  <si>
    <t>Ecoinvent DB, 3823</t>
  </si>
  <si>
    <t>Ecoinvent DB, 13572, 24518</t>
  </si>
  <si>
    <t>Ecoinvent DB, 24768</t>
  </si>
  <si>
    <t>Falcone et al. 2022, https://doi.org/10.3390/batteries8080076</t>
  </si>
  <si>
    <t>Ecoinvent DB, 7544</t>
  </si>
  <si>
    <t>Econinvent DB, 21253, 23772</t>
  </si>
  <si>
    <t>Ecoinvent DB, 13957</t>
  </si>
  <si>
    <t>GREET2018</t>
  </si>
  <si>
    <t>Ali et al. 2024, https://doi.org/10.1016/j.resconrec.2023.107384</t>
  </si>
  <si>
    <t>Calculation based on Mohr et al. 2020, https://onlinelibrary.wiley.com/doi/pdf/10.1111/jiec.13021</t>
  </si>
  <si>
    <t>Ecoinvent DB, 21545</t>
  </si>
  <si>
    <t>Ecoinvent DB, 1138</t>
  </si>
  <si>
    <t>n/a</t>
  </si>
  <si>
    <t>n/a, as primary</t>
  </si>
  <si>
    <t>BoM Reference pCAM SOTA</t>
  </si>
  <si>
    <t>BoM Reference CAM SOTA</t>
  </si>
  <si>
    <t>BoM Reference AAM SOTA</t>
  </si>
  <si>
    <t>BoM Reference Electrolyte SOTA</t>
  </si>
  <si>
    <t>BoM Reference Separator SOTA</t>
  </si>
  <si>
    <t>BoM Reference Al-CC SOTA</t>
  </si>
  <si>
    <t>BoM Reference Cu-CC SOTA</t>
  </si>
  <si>
    <t>BoM Reference Na SOTA</t>
  </si>
  <si>
    <t>BoM Reference Al SOTA</t>
  </si>
  <si>
    <t>BoM Reference Si SOTA</t>
  </si>
  <si>
    <t>BoM Reference Ti SOTA</t>
  </si>
  <si>
    <t>BoM Reference V SOTA</t>
  </si>
  <si>
    <t>BoM Reference Mn SOTA</t>
  </si>
  <si>
    <t>BoM Reference Fe SOTA</t>
  </si>
  <si>
    <t>BoM Reference Co SOTA</t>
  </si>
  <si>
    <t>BoM Reference Ni SOTA</t>
  </si>
  <si>
    <t>BoM Reference Cu SOTA</t>
  </si>
  <si>
    <t>BoM Reference Zn SOTA</t>
  </si>
  <si>
    <t>BoM Reference S SOTA</t>
  </si>
  <si>
    <t>BoM Reference F SOTA</t>
  </si>
  <si>
    <t>BoM Reference Carbons SOTA</t>
  </si>
  <si>
    <t>Emissions electrolyte production</t>
  </si>
  <si>
    <t>Emissions separator production</t>
  </si>
  <si>
    <t>Ecoinvent DB, averaged values of 3764 and 8842</t>
  </si>
  <si>
    <t>Ecoinvent DB, 24889</t>
  </si>
  <si>
    <t>Emissions Cu current collector foil production</t>
  </si>
  <si>
    <t>Emissions Al current collector foil production</t>
  </si>
  <si>
    <t>Averaged values from Falcone et al. (https://doi.org/10.3390/batteries8080076) and Ecoinvent DB 24698</t>
  </si>
  <si>
    <t>Averaged values from Falcone et al. (https://doi.org/10.3390/batteries8080076) and Ecoinvent DB 24660</t>
  </si>
  <si>
    <t>Averaged values for NMC and LFP taken from Sun et al. (https://doi.org/10.1016/j.jclepro.2020.123006), Dai et al. (https://www.mdpi.com/2313-0105/5/2/48) and Quan et al. (https://doi.org/10.1016/j.scitotenv.2022.153105)</t>
  </si>
  <si>
    <t>Averaged values taken from Degen et al. 2022 (https://doi.org/10.1016/j.jclepro.2021.129798), Degen et al. 2023 (https://doi.org/10.1038/s41560-023-01355-z), Dai et al. (https://www.mdpi.com/2313-0105/5/2/48), Kurland (http://dx.doi.org/10.1088/2515-7620/ab5e1e), Drachenfels et al. (https://doi.org/10.1002/ente.202200673)</t>
  </si>
  <si>
    <t>Averaged values for NG and SG taken from Iyer et al. (https://doi.org/10.2172/1891640) / GREET2022, Falcone et al. (https://doi.org/10.3390/batteries8080076) and Ecoinvent DB 24786</t>
  </si>
  <si>
    <t>Averaged values for NG and SG taken from Iyer et al. (https://doi.org/10.2172/1891640) / GREET2022 and Ecoinvent DB 24786</t>
  </si>
  <si>
    <t>Averaged values for NMC and LFP taken from Sun et al. (https://doi.org/10.1016/j.jclepro.2020.123006), Dai et al. (https://www.mdpi.com/2313-0105/5/2/48) / Ecoinvent DB 24661 and Quan et al. (https://doi.org/10.1016/j.scitotenv.2022.153105)</t>
  </si>
  <si>
    <t>Averaged values for NMC and LFP taken from Sun et al. (https://doi.org/10.1016/j.jclepro.2020.123006), Dai et al. (https://www.mdpi.com/2313-0105/5/2/48) / Ecoinvent DB 24710 and Quan et al. (https://doi.org/10.1016/j.scitotenv.2022.153105)</t>
  </si>
  <si>
    <t>Averaged values for NMC and LFP taken from Sun et al. (https://doi.org/10.1016/j.jclepro.2020.123006), Dai et al. (https://www.mdpi.com/2313-0105/5/2/48) / Ecoinvent DB 24710, Quan et al. (https://doi.org/10.1016/j.scitotenv.2022.153105) and Ecoinvent DB 27232</t>
  </si>
  <si>
    <t>Averaged value for LFP/FP and LiNMCO/NMC(OH)2</t>
  </si>
  <si>
    <r>
      <t>kg CO</t>
    </r>
    <r>
      <rPr>
        <vertAlign val="subscript"/>
        <sz val="10"/>
        <color theme="1"/>
        <rFont val="Arial"/>
        <family val="2"/>
      </rPr>
      <t>2</t>
    </r>
    <r>
      <rPr>
        <sz val="10"/>
        <color theme="1"/>
        <rFont val="Arial"/>
        <family val="2"/>
      </rPr>
      <t>e / kWh_cell</t>
    </r>
  </si>
  <si>
    <t>kWh / kWh_cell</t>
  </si>
  <si>
    <t>Ecoinvent DB, 24576, 24741</t>
  </si>
  <si>
    <t>Estimation based on Sun et al. (https://doi.org/10.1016/j.jclepro.2020.123006)</t>
  </si>
  <si>
    <t>Emissions battey pack assembly</t>
  </si>
  <si>
    <t>Consistency to Energy Storage methodology</t>
  </si>
  <si>
    <r>
      <t>t CO</t>
    </r>
    <r>
      <rPr>
        <vertAlign val="subscript"/>
        <sz val="10"/>
        <color theme="1"/>
        <rFont val="Arial"/>
        <family val="2"/>
      </rPr>
      <t>2</t>
    </r>
    <r>
      <rPr>
        <sz val="10"/>
        <color theme="1"/>
        <rFont val="Arial"/>
        <family val="2"/>
      </rPr>
      <t>e / m</t>
    </r>
    <r>
      <rPr>
        <vertAlign val="superscript"/>
        <sz val="10"/>
        <color theme="1"/>
        <rFont val="Arial"/>
        <family val="2"/>
      </rPr>
      <t>3</t>
    </r>
  </si>
  <si>
    <t>By assumption, consistency with Energy Storage methodology</t>
  </si>
  <si>
    <r>
      <t>t CO</t>
    </r>
    <r>
      <rPr>
        <vertAlign val="subscript"/>
        <sz val="10"/>
        <color theme="1"/>
        <rFont val="Arial"/>
        <family val="2"/>
      </rPr>
      <t>2</t>
    </r>
    <r>
      <rPr>
        <sz val="10"/>
        <color theme="1"/>
        <rFont val="Arial"/>
        <family val="2"/>
      </rPr>
      <t>e / litre</t>
    </r>
  </si>
  <si>
    <t>t CO2e / t</t>
  </si>
  <si>
    <t>Standard factors</t>
  </si>
  <si>
    <t>Variable type</t>
  </si>
  <si>
    <t>units</t>
  </si>
  <si>
    <t>BoM Reference Li SOTA</t>
  </si>
  <si>
    <t>amount of hydrogen consumed by the project</t>
  </si>
  <si>
    <t xml:space="preserve">amount of electricity consumed by the project </t>
  </si>
  <si>
    <t xml:space="preserve">amount of heat consumed by the project </t>
  </si>
  <si>
    <t>Li_in recycled</t>
  </si>
  <si>
    <t>Na_in recycled</t>
  </si>
  <si>
    <t>Al_in recycled</t>
  </si>
  <si>
    <t>Si_in recycled</t>
  </si>
  <si>
    <t>Ti_in recycled</t>
  </si>
  <si>
    <t>V_in recycled</t>
  </si>
  <si>
    <t>Mn_in recycled</t>
  </si>
  <si>
    <t>Fe_in recycled</t>
  </si>
  <si>
    <t>Co_in recycled</t>
  </si>
  <si>
    <t>Ni_in recycled</t>
  </si>
  <si>
    <t>Cu_in recycled</t>
  </si>
  <si>
    <t>Zn_in recycled</t>
  </si>
  <si>
    <t>S_in recycled</t>
  </si>
  <si>
    <t>F_in recycled</t>
  </si>
  <si>
    <t>Li_in primary</t>
  </si>
  <si>
    <t>Na_in primary</t>
  </si>
  <si>
    <t>Al_in primary</t>
  </si>
  <si>
    <t>Si_in primary</t>
  </si>
  <si>
    <t>Ti_in primary</t>
  </si>
  <si>
    <t>V_in primary</t>
  </si>
  <si>
    <t>Mn_in primary</t>
  </si>
  <si>
    <t>Fe_in primary</t>
  </si>
  <si>
    <t>Co_in primary</t>
  </si>
  <si>
    <t>Ni_in primary</t>
  </si>
  <si>
    <t>Cu_in primary</t>
  </si>
  <si>
    <t>Zn_in primary</t>
  </si>
  <si>
    <t>S_in primary</t>
  </si>
  <si>
    <t>F_in primary</t>
  </si>
  <si>
    <t>Cathode precursor material used per cathode active material for the battery cells assumed for reference</t>
  </si>
  <si>
    <t>amount of electricity consumed by the reference</t>
  </si>
  <si>
    <t>amount of heat consumed by the reference</t>
  </si>
  <si>
    <t>amount of hydrogen consumed by the reference</t>
  </si>
  <si>
    <t>Quantity of heavy fuel oil consumed by the project</t>
  </si>
  <si>
    <t>Quantity of diesel consumed by the project</t>
  </si>
  <si>
    <t>Quantity of gasoline consumed by the project</t>
  </si>
  <si>
    <t>Quantity of natural gas consumed by the project</t>
  </si>
  <si>
    <t>Quantity of natural gas consumed by the reference</t>
  </si>
  <si>
    <t xml:space="preserve">Quantity of heavy fuel oil consumed by the reference </t>
  </si>
  <si>
    <t>Quantity of diesel consumed by the reference</t>
  </si>
  <si>
    <t>Quantity of gasoline consumed by the reference</t>
  </si>
  <si>
    <t>Cathode precursor material used for the battery cells produced in the reference scenario (no upstream components considered to be in project)</t>
  </si>
  <si>
    <t>Cathode active material used  for the battery cells produced in the reference scenario (no upstream components considered to be in project)</t>
  </si>
  <si>
    <t>Anode active material used  for the battery cells produced in the reference scenario (no upstream components considered to be in project)</t>
  </si>
  <si>
    <t>Electrolyte used  for the battery cells produced in the reference scenario (no upstream components considered to be in project)</t>
  </si>
  <si>
    <t>Separator used for the battery cells produced in the reference scenario (no upstream components considered to be in project)</t>
  </si>
  <si>
    <r>
      <rPr>
        <sz val="11"/>
        <color rgb="FF000000"/>
        <rFont val="Arial"/>
        <family val="2"/>
      </rPr>
      <t>Ref</t>
    </r>
    <r>
      <rPr>
        <vertAlign val="subscript"/>
        <sz val="11"/>
        <color rgb="FF000000"/>
        <rFont val="Arial"/>
        <family val="2"/>
      </rPr>
      <t>year</t>
    </r>
  </si>
  <si>
    <t xml:space="preserve">Provides all the conversion and emission factors used in the calculations performed in this tool. </t>
  </si>
  <si>
    <r>
      <t>Ref</t>
    </r>
    <r>
      <rPr>
        <vertAlign val="subscript"/>
        <sz val="10"/>
        <color rgb="FF000000"/>
        <rFont val="Arial"/>
        <family val="2"/>
      </rPr>
      <t>abs</t>
    </r>
  </si>
  <si>
    <r>
      <t>Proj</t>
    </r>
    <r>
      <rPr>
        <vertAlign val="subscript"/>
        <sz val="10"/>
        <color rgb="FF000000"/>
        <rFont val="Arial"/>
        <family val="2"/>
      </rPr>
      <t>abs</t>
    </r>
  </si>
  <si>
    <r>
      <t>Ref</t>
    </r>
    <r>
      <rPr>
        <vertAlign val="subscript"/>
        <sz val="10"/>
        <color rgb="FF000000"/>
        <rFont val="Arial"/>
        <family val="2"/>
      </rPr>
      <t>manuf-abs</t>
    </r>
  </si>
  <si>
    <t>Fundamental unit definition</t>
  </si>
  <si>
    <t>Aluminum Current collector foils used per battery storage produced</t>
  </si>
  <si>
    <t>Copper Current collector foils used per battery storage produced</t>
  </si>
  <si>
    <t>Cu-Current collector foils</t>
  </si>
  <si>
    <t>Al-current collector foils</t>
  </si>
  <si>
    <t>Cu-current collector foils</t>
  </si>
  <si>
    <t>Copper current collector foils used  for the battery cells produced in the reference scenario (no upstream components considered to be in project)</t>
  </si>
  <si>
    <t>Aluminum current collector foils used  for the battery cells produced in the reference scenario (no upstream components considered to be in project)</t>
  </si>
  <si>
    <t>MWh</t>
  </si>
  <si>
    <t>Al-current collector foils used per battery storage produced</t>
  </si>
  <si>
    <t>Cu-current collector foils used per battery storage produced</t>
  </si>
  <si>
    <t>Emissions not originating from energy consumption</t>
  </si>
  <si>
    <t>Emissions of Al-current collector foils not produced within project scope. Default is assumed if nothing is specified.</t>
  </si>
  <si>
    <t>Emissions of Cu-current collector foils not produced within project scope. Default is assumed if nothing is specified.</t>
  </si>
  <si>
    <t>Cathode precursor material not produced within project scope.</t>
  </si>
  <si>
    <t>Cathode active material not produced within project scope.</t>
  </si>
  <si>
    <t>Anode active material not produced within project scope.</t>
  </si>
  <si>
    <t>Electrolyte not produced within project scope.</t>
  </si>
  <si>
    <t>Separator not produced within project scope.</t>
  </si>
  <si>
    <t>Al-current collector foils not produced within project scope.</t>
  </si>
  <si>
    <t>Cu-current collector foils not produced within project scope.</t>
  </si>
  <si>
    <t>Value of global value chain by assumption</t>
  </si>
  <si>
    <t>Emissions for electricity generation for reference</t>
  </si>
  <si>
    <t>Emissions for electricity production for EU "forward looking"</t>
  </si>
  <si>
    <t>EER</t>
  </si>
  <si>
    <r>
      <t>BEV</t>
    </r>
    <r>
      <rPr>
        <vertAlign val="subscript"/>
        <sz val="9"/>
        <color theme="1"/>
        <rFont val="Calibri"/>
        <family val="2"/>
        <scheme val="minor"/>
      </rPr>
      <t>consumption</t>
    </r>
  </si>
  <si>
    <r>
      <t>EF</t>
    </r>
    <r>
      <rPr>
        <vertAlign val="subscript"/>
        <sz val="9"/>
        <color theme="1"/>
        <rFont val="Calibri"/>
        <family val="2"/>
        <scheme val="minor"/>
      </rPr>
      <t>EoL</t>
    </r>
  </si>
  <si>
    <r>
      <t>BEV</t>
    </r>
    <r>
      <rPr>
        <vertAlign val="subscript"/>
        <sz val="9"/>
        <color theme="1"/>
        <rFont val="Calibri"/>
        <family val="2"/>
        <scheme val="minor"/>
      </rPr>
      <t>distance</t>
    </r>
    <r>
      <rPr>
        <sz val="9"/>
        <color theme="1"/>
        <rFont val="Calibri"/>
        <family val="2"/>
        <scheme val="minor"/>
      </rPr>
      <t xml:space="preserve"> </t>
    </r>
  </si>
  <si>
    <r>
      <t>EV</t>
    </r>
    <r>
      <rPr>
        <vertAlign val="subscript"/>
        <sz val="9"/>
        <color theme="1"/>
        <rFont val="Calibri"/>
        <family val="2"/>
        <scheme val="minor"/>
      </rPr>
      <t>capacity</t>
    </r>
  </si>
  <si>
    <r>
      <t>EF</t>
    </r>
    <r>
      <rPr>
        <vertAlign val="subscript"/>
        <sz val="9"/>
        <color theme="1"/>
        <rFont val="Calibri"/>
        <family val="2"/>
        <scheme val="minor"/>
      </rPr>
      <t>pack</t>
    </r>
  </si>
  <si>
    <r>
      <t>EF</t>
    </r>
    <r>
      <rPr>
        <vertAlign val="subscript"/>
        <sz val="10"/>
        <color theme="1"/>
        <rFont val="Arial"/>
        <family val="2"/>
      </rPr>
      <t>electricity</t>
    </r>
  </si>
  <si>
    <r>
      <t>EF</t>
    </r>
    <r>
      <rPr>
        <vertAlign val="subscript"/>
        <sz val="10"/>
        <color theme="1"/>
        <rFont val="Arial"/>
        <family val="2"/>
      </rPr>
      <t>electricity,global</t>
    </r>
  </si>
  <si>
    <r>
      <t>EF</t>
    </r>
    <r>
      <rPr>
        <vertAlign val="subscript"/>
        <sz val="10"/>
        <color theme="1"/>
        <rFont val="Arial"/>
        <family val="2"/>
      </rPr>
      <t xml:space="preserve">H2 </t>
    </r>
  </si>
  <si>
    <r>
      <t>EF</t>
    </r>
    <r>
      <rPr>
        <vertAlign val="subscript"/>
        <sz val="10"/>
        <color theme="1"/>
        <rFont val="Arial"/>
        <family val="2"/>
      </rPr>
      <t xml:space="preserve">heat  </t>
    </r>
    <r>
      <rPr>
        <sz val="10"/>
        <color theme="1"/>
        <rFont val="Arial"/>
        <family val="2"/>
      </rPr>
      <t/>
    </r>
  </si>
  <si>
    <t>Energy unit conversion factor</t>
  </si>
  <si>
    <t>Production volume</t>
  </si>
  <si>
    <r>
      <rPr>
        <sz val="11"/>
        <color rgb="FF000000"/>
        <rFont val="Arial"/>
        <family val="2"/>
      </rPr>
      <t>Proj</t>
    </r>
    <r>
      <rPr>
        <vertAlign val="subscript"/>
        <sz val="11"/>
        <color rgb="FF000000"/>
        <rFont val="Arial"/>
        <family val="2"/>
      </rPr>
      <t>manuf,y</t>
    </r>
  </si>
  <si>
    <r>
      <rPr>
        <sz val="11"/>
        <color rgb="FF000000"/>
        <rFont val="Arial"/>
        <family val="2"/>
      </rPr>
      <t>Proj</t>
    </r>
    <r>
      <rPr>
        <vertAlign val="subscript"/>
        <sz val="11"/>
        <color rgb="FF000000"/>
        <rFont val="Arial"/>
        <family val="2"/>
      </rPr>
      <t>y</t>
    </r>
  </si>
  <si>
    <r>
      <t>Proj</t>
    </r>
    <r>
      <rPr>
        <vertAlign val="subscript"/>
        <sz val="10"/>
        <color rgb="FF000000"/>
        <rFont val="Arial"/>
        <family val="2"/>
      </rPr>
      <t>production,y</t>
    </r>
  </si>
  <si>
    <r>
      <t>Proj</t>
    </r>
    <r>
      <rPr>
        <vertAlign val="subscript"/>
        <sz val="10"/>
        <color rgb="FF000000"/>
        <rFont val="Arial"/>
        <family val="2"/>
      </rPr>
      <t xml:space="preserve">production,y </t>
    </r>
  </si>
  <si>
    <r>
      <t>s</t>
    </r>
    <r>
      <rPr>
        <vertAlign val="subscript"/>
        <sz val="9"/>
        <color theme="1"/>
        <rFont val="Calibri"/>
        <family val="2"/>
        <scheme val="minor"/>
      </rPr>
      <t>ref,recy,k,y</t>
    </r>
  </si>
  <si>
    <r>
      <t>s</t>
    </r>
    <r>
      <rPr>
        <vertAlign val="subscript"/>
        <sz val="9"/>
        <color theme="1"/>
        <rFont val="Calibri"/>
        <family val="2"/>
        <scheme val="minor"/>
      </rPr>
      <t>ref,recy,Li,y</t>
    </r>
  </si>
  <si>
    <r>
      <t>s</t>
    </r>
    <r>
      <rPr>
        <vertAlign val="subscript"/>
        <sz val="9"/>
        <color theme="1"/>
        <rFont val="Calibri"/>
        <family val="2"/>
        <scheme val="minor"/>
      </rPr>
      <t>ref,recy,Na,y</t>
    </r>
  </si>
  <si>
    <r>
      <t>s</t>
    </r>
    <r>
      <rPr>
        <vertAlign val="subscript"/>
        <sz val="9"/>
        <color theme="1"/>
        <rFont val="Calibri"/>
        <family val="2"/>
        <scheme val="minor"/>
      </rPr>
      <t>ref,recy,Al,y</t>
    </r>
  </si>
  <si>
    <r>
      <t>s</t>
    </r>
    <r>
      <rPr>
        <vertAlign val="subscript"/>
        <sz val="9"/>
        <color theme="1"/>
        <rFont val="Calibri"/>
        <family val="2"/>
        <scheme val="minor"/>
      </rPr>
      <t>ref,recy,Si,y</t>
    </r>
  </si>
  <si>
    <r>
      <t>s</t>
    </r>
    <r>
      <rPr>
        <vertAlign val="subscript"/>
        <sz val="9"/>
        <color theme="1"/>
        <rFont val="Calibri"/>
        <family val="2"/>
        <scheme val="minor"/>
      </rPr>
      <t>ref,recy,V,y</t>
    </r>
  </si>
  <si>
    <r>
      <t>s</t>
    </r>
    <r>
      <rPr>
        <vertAlign val="subscript"/>
        <sz val="9"/>
        <color theme="1"/>
        <rFont val="Calibri"/>
        <family val="2"/>
        <scheme val="minor"/>
      </rPr>
      <t>ref,recy,Mn,y</t>
    </r>
  </si>
  <si>
    <r>
      <t>s</t>
    </r>
    <r>
      <rPr>
        <vertAlign val="subscript"/>
        <sz val="9"/>
        <color theme="1"/>
        <rFont val="Calibri"/>
        <family val="2"/>
        <scheme val="minor"/>
      </rPr>
      <t>ref,recy,Fe,y</t>
    </r>
  </si>
  <si>
    <r>
      <t>s</t>
    </r>
    <r>
      <rPr>
        <vertAlign val="subscript"/>
        <sz val="9"/>
        <color theme="1"/>
        <rFont val="Calibri"/>
        <family val="2"/>
        <scheme val="minor"/>
      </rPr>
      <t>ref,recy,Co,y</t>
    </r>
  </si>
  <si>
    <r>
      <t>s</t>
    </r>
    <r>
      <rPr>
        <vertAlign val="subscript"/>
        <sz val="9"/>
        <color theme="1"/>
        <rFont val="Calibri"/>
        <family val="2"/>
        <scheme val="minor"/>
      </rPr>
      <t>ref,recy,Ni,y</t>
    </r>
  </si>
  <si>
    <r>
      <t>s</t>
    </r>
    <r>
      <rPr>
        <vertAlign val="subscript"/>
        <sz val="9"/>
        <color theme="1"/>
        <rFont val="Calibri"/>
        <family val="2"/>
        <scheme val="minor"/>
      </rPr>
      <t>ref,recy,Cu,y</t>
    </r>
  </si>
  <si>
    <r>
      <t>s</t>
    </r>
    <r>
      <rPr>
        <vertAlign val="subscript"/>
        <sz val="9"/>
        <color theme="1"/>
        <rFont val="Calibri"/>
        <family val="2"/>
        <scheme val="minor"/>
      </rPr>
      <t>ref,recy,Zn,y</t>
    </r>
  </si>
  <si>
    <r>
      <t>s</t>
    </r>
    <r>
      <rPr>
        <vertAlign val="subscript"/>
        <sz val="9"/>
        <color theme="1"/>
        <rFont val="Calibri"/>
        <family val="2"/>
        <scheme val="minor"/>
      </rPr>
      <t>ref,recy,S,y</t>
    </r>
  </si>
  <si>
    <r>
      <t>s</t>
    </r>
    <r>
      <rPr>
        <vertAlign val="subscript"/>
        <sz val="9"/>
        <color theme="1"/>
        <rFont val="Calibri"/>
        <family val="2"/>
        <scheme val="minor"/>
      </rPr>
      <t>ref,recy,F,y</t>
    </r>
  </si>
  <si>
    <r>
      <t>s</t>
    </r>
    <r>
      <rPr>
        <vertAlign val="subscript"/>
        <sz val="9"/>
        <color theme="1"/>
        <rFont val="Calibri"/>
        <family val="2"/>
        <scheme val="minor"/>
      </rPr>
      <t>ref,recy,Carbons,y</t>
    </r>
  </si>
  <si>
    <r>
      <t>Ref</t>
    </r>
    <r>
      <rPr>
        <vertAlign val="subscript"/>
        <sz val="9"/>
        <color theme="1"/>
        <rFont val="Calibri"/>
        <family val="2"/>
        <scheme val="minor"/>
      </rPr>
      <t xml:space="preserve">raw,k </t>
    </r>
  </si>
  <si>
    <r>
      <t>Ref</t>
    </r>
    <r>
      <rPr>
        <vertAlign val="subscript"/>
        <sz val="9"/>
        <color theme="1"/>
        <rFont val="Calibri"/>
        <family val="2"/>
        <scheme val="minor"/>
      </rPr>
      <t>raw,Li</t>
    </r>
  </si>
  <si>
    <r>
      <t>Ref</t>
    </r>
    <r>
      <rPr>
        <vertAlign val="subscript"/>
        <sz val="9"/>
        <color theme="1"/>
        <rFont val="Calibri"/>
        <family val="2"/>
        <scheme val="minor"/>
      </rPr>
      <t>raw,Na</t>
    </r>
  </si>
  <si>
    <r>
      <t>Ref</t>
    </r>
    <r>
      <rPr>
        <vertAlign val="subscript"/>
        <sz val="9"/>
        <color theme="1"/>
        <rFont val="Calibri"/>
        <family val="2"/>
        <scheme val="minor"/>
      </rPr>
      <t>raw,Al</t>
    </r>
  </si>
  <si>
    <r>
      <t>Ref</t>
    </r>
    <r>
      <rPr>
        <vertAlign val="subscript"/>
        <sz val="9"/>
        <color theme="1"/>
        <rFont val="Calibri"/>
        <family val="2"/>
        <scheme val="minor"/>
      </rPr>
      <t>raw,Si</t>
    </r>
  </si>
  <si>
    <r>
      <t>Ref</t>
    </r>
    <r>
      <rPr>
        <vertAlign val="subscript"/>
        <sz val="9"/>
        <color theme="1"/>
        <rFont val="Calibri"/>
        <family val="2"/>
        <scheme val="minor"/>
      </rPr>
      <t>raw,Ti</t>
    </r>
  </si>
  <si>
    <r>
      <t>Ref</t>
    </r>
    <r>
      <rPr>
        <vertAlign val="subscript"/>
        <sz val="9"/>
        <color theme="1"/>
        <rFont val="Calibri"/>
        <family val="2"/>
        <scheme val="minor"/>
      </rPr>
      <t>raw,V</t>
    </r>
  </si>
  <si>
    <r>
      <t>Ref</t>
    </r>
    <r>
      <rPr>
        <vertAlign val="subscript"/>
        <sz val="9"/>
        <color theme="1"/>
        <rFont val="Calibri"/>
        <family val="2"/>
        <scheme val="minor"/>
      </rPr>
      <t>raw,Mn</t>
    </r>
  </si>
  <si>
    <r>
      <t>Ref</t>
    </r>
    <r>
      <rPr>
        <vertAlign val="subscript"/>
        <sz val="9"/>
        <color theme="1"/>
        <rFont val="Calibri"/>
        <family val="2"/>
        <scheme val="minor"/>
      </rPr>
      <t>raw,Fe</t>
    </r>
  </si>
  <si>
    <r>
      <t>Ref</t>
    </r>
    <r>
      <rPr>
        <vertAlign val="subscript"/>
        <sz val="9"/>
        <color theme="1"/>
        <rFont val="Calibri"/>
        <family val="2"/>
        <scheme val="minor"/>
      </rPr>
      <t>raw,Co</t>
    </r>
  </si>
  <si>
    <r>
      <t>Ref</t>
    </r>
    <r>
      <rPr>
        <vertAlign val="subscript"/>
        <sz val="9"/>
        <color theme="1"/>
        <rFont val="Calibri"/>
        <family val="2"/>
        <scheme val="minor"/>
      </rPr>
      <t>raw,Ni</t>
    </r>
  </si>
  <si>
    <r>
      <t>Ref</t>
    </r>
    <r>
      <rPr>
        <vertAlign val="subscript"/>
        <sz val="9"/>
        <color theme="1"/>
        <rFont val="Calibri"/>
        <family val="2"/>
        <scheme val="minor"/>
      </rPr>
      <t>raw,Cu</t>
    </r>
  </si>
  <si>
    <r>
      <t>Ref</t>
    </r>
    <r>
      <rPr>
        <vertAlign val="subscript"/>
        <sz val="9"/>
        <color theme="1"/>
        <rFont val="Calibri"/>
        <family val="2"/>
        <scheme val="minor"/>
      </rPr>
      <t>raw,Zn</t>
    </r>
  </si>
  <si>
    <r>
      <t>Ref</t>
    </r>
    <r>
      <rPr>
        <vertAlign val="subscript"/>
        <sz val="9"/>
        <color theme="1"/>
        <rFont val="Calibri"/>
        <family val="2"/>
        <scheme val="minor"/>
      </rPr>
      <t>raw,S</t>
    </r>
  </si>
  <si>
    <r>
      <t>s</t>
    </r>
    <r>
      <rPr>
        <vertAlign val="subscript"/>
        <sz val="9"/>
        <color theme="1"/>
        <rFont val="Calibri"/>
        <family val="2"/>
        <scheme val="minor"/>
      </rPr>
      <t>ref,recy,Ti,y</t>
    </r>
  </si>
  <si>
    <r>
      <t>Ref</t>
    </r>
    <r>
      <rPr>
        <vertAlign val="subscript"/>
        <sz val="9"/>
        <color theme="1"/>
        <rFont val="Calibri"/>
        <family val="2"/>
        <scheme val="minor"/>
      </rPr>
      <t>up,pCAM</t>
    </r>
  </si>
  <si>
    <r>
      <t>Ref</t>
    </r>
    <r>
      <rPr>
        <vertAlign val="subscript"/>
        <sz val="9"/>
        <color theme="1"/>
        <rFont val="Calibri"/>
        <family val="2"/>
        <scheme val="minor"/>
      </rPr>
      <t>up,CAM</t>
    </r>
  </si>
  <si>
    <r>
      <t>Ref</t>
    </r>
    <r>
      <rPr>
        <vertAlign val="subscript"/>
        <sz val="9"/>
        <color theme="1"/>
        <rFont val="Calibri"/>
        <family val="2"/>
        <scheme val="minor"/>
      </rPr>
      <t>up,AAM</t>
    </r>
  </si>
  <si>
    <r>
      <t>Ref</t>
    </r>
    <r>
      <rPr>
        <vertAlign val="subscript"/>
        <sz val="9"/>
        <color theme="1"/>
        <rFont val="Calibri"/>
        <family val="2"/>
        <scheme val="minor"/>
      </rPr>
      <t>up,Electrolyte</t>
    </r>
  </si>
  <si>
    <r>
      <t>Ref</t>
    </r>
    <r>
      <rPr>
        <vertAlign val="subscript"/>
        <sz val="9"/>
        <color theme="1"/>
        <rFont val="Calibri"/>
        <family val="2"/>
        <scheme val="minor"/>
      </rPr>
      <t>up,Separator</t>
    </r>
  </si>
  <si>
    <t>Other energy carrier</t>
  </si>
  <si>
    <t>Oil</t>
  </si>
  <si>
    <r>
      <t>EF</t>
    </r>
    <r>
      <rPr>
        <vertAlign val="subscript"/>
        <sz val="9"/>
        <color theme="1"/>
        <rFont val="Calibri"/>
        <family val="2"/>
        <scheme val="minor"/>
      </rPr>
      <t>raw,Li</t>
    </r>
  </si>
  <si>
    <r>
      <t>EF</t>
    </r>
    <r>
      <rPr>
        <vertAlign val="subscript"/>
        <sz val="9"/>
        <color theme="1"/>
        <rFont val="Calibri"/>
        <family val="2"/>
        <scheme val="minor"/>
      </rPr>
      <t>raw,Na</t>
    </r>
  </si>
  <si>
    <r>
      <t>EF</t>
    </r>
    <r>
      <rPr>
        <vertAlign val="subscript"/>
        <sz val="9"/>
        <color theme="1"/>
        <rFont val="Calibri"/>
        <family val="2"/>
        <scheme val="minor"/>
      </rPr>
      <t>raw,Al</t>
    </r>
  </si>
  <si>
    <r>
      <t>EF</t>
    </r>
    <r>
      <rPr>
        <vertAlign val="subscript"/>
        <sz val="9"/>
        <color theme="1"/>
        <rFont val="Calibri"/>
        <family val="2"/>
        <scheme val="minor"/>
      </rPr>
      <t>raw,Si</t>
    </r>
  </si>
  <si>
    <r>
      <t>EF</t>
    </r>
    <r>
      <rPr>
        <vertAlign val="subscript"/>
        <sz val="9"/>
        <color theme="1"/>
        <rFont val="Calibri"/>
        <family val="2"/>
        <scheme val="minor"/>
      </rPr>
      <t>raw,Ti</t>
    </r>
  </si>
  <si>
    <r>
      <t>EF</t>
    </r>
    <r>
      <rPr>
        <vertAlign val="subscript"/>
        <sz val="9"/>
        <color theme="1"/>
        <rFont val="Calibri"/>
        <family val="2"/>
        <scheme val="minor"/>
      </rPr>
      <t>raw,V</t>
    </r>
  </si>
  <si>
    <r>
      <t>EF</t>
    </r>
    <r>
      <rPr>
        <vertAlign val="subscript"/>
        <sz val="9"/>
        <color theme="1"/>
        <rFont val="Calibri"/>
        <family val="2"/>
        <scheme val="minor"/>
      </rPr>
      <t>raw,Mn</t>
    </r>
  </si>
  <si>
    <r>
      <t>EF</t>
    </r>
    <r>
      <rPr>
        <vertAlign val="subscript"/>
        <sz val="9"/>
        <color theme="1"/>
        <rFont val="Calibri"/>
        <family val="2"/>
        <scheme val="minor"/>
      </rPr>
      <t>raw,Fe</t>
    </r>
  </si>
  <si>
    <r>
      <t>EF</t>
    </r>
    <r>
      <rPr>
        <vertAlign val="subscript"/>
        <sz val="9"/>
        <color theme="1"/>
        <rFont val="Calibri"/>
        <family val="2"/>
        <scheme val="minor"/>
      </rPr>
      <t>raw,Co</t>
    </r>
  </si>
  <si>
    <r>
      <t>EF</t>
    </r>
    <r>
      <rPr>
        <vertAlign val="subscript"/>
        <sz val="9"/>
        <color theme="1"/>
        <rFont val="Calibri"/>
        <family val="2"/>
        <scheme val="minor"/>
      </rPr>
      <t>raw,Ni</t>
    </r>
  </si>
  <si>
    <r>
      <t>EF</t>
    </r>
    <r>
      <rPr>
        <vertAlign val="subscript"/>
        <sz val="9"/>
        <color theme="1"/>
        <rFont val="Calibri"/>
        <family val="2"/>
        <scheme val="minor"/>
      </rPr>
      <t>raw,Cu</t>
    </r>
  </si>
  <si>
    <r>
      <t>EF</t>
    </r>
    <r>
      <rPr>
        <vertAlign val="subscript"/>
        <sz val="9"/>
        <color theme="1"/>
        <rFont val="Calibri"/>
        <family val="2"/>
        <scheme val="minor"/>
      </rPr>
      <t>raw,Zn</t>
    </r>
  </si>
  <si>
    <r>
      <t>EF</t>
    </r>
    <r>
      <rPr>
        <vertAlign val="subscript"/>
        <sz val="9"/>
        <color theme="1"/>
        <rFont val="Calibri"/>
        <family val="2"/>
        <scheme val="minor"/>
      </rPr>
      <t>recy,Li</t>
    </r>
  </si>
  <si>
    <r>
      <t>EF</t>
    </r>
    <r>
      <rPr>
        <vertAlign val="subscript"/>
        <sz val="9"/>
        <color theme="1"/>
        <rFont val="Calibri"/>
        <family val="2"/>
        <scheme val="minor"/>
      </rPr>
      <t>recy,Na</t>
    </r>
  </si>
  <si>
    <r>
      <t>EF</t>
    </r>
    <r>
      <rPr>
        <vertAlign val="subscript"/>
        <sz val="9"/>
        <color theme="1"/>
        <rFont val="Calibri"/>
        <family val="2"/>
        <scheme val="minor"/>
      </rPr>
      <t>recy,Al</t>
    </r>
  </si>
  <si>
    <r>
      <t>EF</t>
    </r>
    <r>
      <rPr>
        <vertAlign val="subscript"/>
        <sz val="9"/>
        <color theme="1"/>
        <rFont val="Calibri"/>
        <family val="2"/>
        <scheme val="minor"/>
      </rPr>
      <t>recy,Si</t>
    </r>
  </si>
  <si>
    <r>
      <t>EF</t>
    </r>
    <r>
      <rPr>
        <vertAlign val="subscript"/>
        <sz val="9"/>
        <color theme="1"/>
        <rFont val="Calibri"/>
        <family val="2"/>
        <scheme val="minor"/>
      </rPr>
      <t>recy,V</t>
    </r>
  </si>
  <si>
    <r>
      <t>EF</t>
    </r>
    <r>
      <rPr>
        <vertAlign val="subscript"/>
        <sz val="9"/>
        <color theme="1"/>
        <rFont val="Calibri"/>
        <family val="2"/>
        <scheme val="minor"/>
      </rPr>
      <t>recy,Ti</t>
    </r>
  </si>
  <si>
    <r>
      <t>EF</t>
    </r>
    <r>
      <rPr>
        <vertAlign val="subscript"/>
        <sz val="9"/>
        <color theme="1"/>
        <rFont val="Calibri"/>
        <family val="2"/>
        <scheme val="minor"/>
      </rPr>
      <t>recy,Mn</t>
    </r>
  </si>
  <si>
    <r>
      <t>EF</t>
    </r>
    <r>
      <rPr>
        <vertAlign val="subscript"/>
        <sz val="9"/>
        <color theme="1"/>
        <rFont val="Calibri"/>
        <family val="2"/>
        <scheme val="minor"/>
      </rPr>
      <t>recy,Fe</t>
    </r>
  </si>
  <si>
    <r>
      <t>EF</t>
    </r>
    <r>
      <rPr>
        <vertAlign val="subscript"/>
        <sz val="9"/>
        <color theme="1"/>
        <rFont val="Calibri"/>
        <family val="2"/>
        <scheme val="minor"/>
      </rPr>
      <t>recy,Co</t>
    </r>
  </si>
  <si>
    <r>
      <t>EF</t>
    </r>
    <r>
      <rPr>
        <vertAlign val="subscript"/>
        <sz val="9"/>
        <color theme="1"/>
        <rFont val="Calibri"/>
        <family val="2"/>
        <scheme val="minor"/>
      </rPr>
      <t>recy,Ni</t>
    </r>
  </si>
  <si>
    <r>
      <t>EF</t>
    </r>
    <r>
      <rPr>
        <vertAlign val="subscript"/>
        <sz val="9"/>
        <color theme="1"/>
        <rFont val="Calibri"/>
        <family val="2"/>
        <scheme val="minor"/>
      </rPr>
      <t>recy,Cu</t>
    </r>
  </si>
  <si>
    <r>
      <t>EF</t>
    </r>
    <r>
      <rPr>
        <vertAlign val="subscript"/>
        <sz val="9"/>
        <color theme="1"/>
        <rFont val="Calibri"/>
        <family val="2"/>
        <scheme val="minor"/>
      </rPr>
      <t>recy,Zn</t>
    </r>
  </si>
  <si>
    <r>
      <t>Ref</t>
    </r>
    <r>
      <rPr>
        <vertAlign val="subscript"/>
        <sz val="9"/>
        <color theme="1"/>
        <rFont val="Calibri"/>
        <family val="2"/>
        <scheme val="minor"/>
      </rPr>
      <t>raw,F</t>
    </r>
  </si>
  <si>
    <r>
      <t>s</t>
    </r>
    <r>
      <rPr>
        <vertAlign val="subscript"/>
        <sz val="9"/>
        <color theme="1"/>
        <rFont val="Calibri"/>
        <family val="2"/>
        <scheme val="minor"/>
      </rPr>
      <t>Proj,recy,k,y</t>
    </r>
  </si>
  <si>
    <r>
      <t>s</t>
    </r>
    <r>
      <rPr>
        <vertAlign val="subscript"/>
        <sz val="9"/>
        <color theme="1"/>
        <rFont val="Calibri"/>
        <family val="2"/>
        <scheme val="minor"/>
      </rPr>
      <t>Proj,recy,Li,y</t>
    </r>
  </si>
  <si>
    <r>
      <t>s</t>
    </r>
    <r>
      <rPr>
        <vertAlign val="subscript"/>
        <sz val="9"/>
        <color theme="1"/>
        <rFont val="Calibri"/>
        <family val="2"/>
        <scheme val="minor"/>
      </rPr>
      <t>Proj,recy,Na,y</t>
    </r>
  </si>
  <si>
    <r>
      <t>s</t>
    </r>
    <r>
      <rPr>
        <vertAlign val="subscript"/>
        <sz val="9"/>
        <color theme="1"/>
        <rFont val="Calibri"/>
        <family val="2"/>
        <scheme val="minor"/>
      </rPr>
      <t>Proj,recy,Al,y</t>
    </r>
  </si>
  <si>
    <r>
      <t>s</t>
    </r>
    <r>
      <rPr>
        <vertAlign val="subscript"/>
        <sz val="9"/>
        <color theme="1"/>
        <rFont val="Calibri"/>
        <family val="2"/>
        <scheme val="minor"/>
      </rPr>
      <t>Proj,recy,Si,y</t>
    </r>
  </si>
  <si>
    <r>
      <t>s</t>
    </r>
    <r>
      <rPr>
        <vertAlign val="subscript"/>
        <sz val="9"/>
        <color theme="1"/>
        <rFont val="Calibri"/>
        <family val="2"/>
        <scheme val="minor"/>
      </rPr>
      <t>Proj,recy,Ti,y</t>
    </r>
  </si>
  <si>
    <r>
      <t>s</t>
    </r>
    <r>
      <rPr>
        <vertAlign val="subscript"/>
        <sz val="9"/>
        <color theme="1"/>
        <rFont val="Calibri"/>
        <family val="2"/>
        <scheme val="minor"/>
      </rPr>
      <t>Proj,recy,V,y</t>
    </r>
  </si>
  <si>
    <r>
      <t>s</t>
    </r>
    <r>
      <rPr>
        <vertAlign val="subscript"/>
        <sz val="9"/>
        <color theme="1"/>
        <rFont val="Calibri"/>
        <family val="2"/>
        <scheme val="minor"/>
      </rPr>
      <t>Proj,recy,Mn,y</t>
    </r>
  </si>
  <si>
    <r>
      <t>s</t>
    </r>
    <r>
      <rPr>
        <vertAlign val="subscript"/>
        <sz val="9"/>
        <color theme="1"/>
        <rFont val="Calibri"/>
        <family val="2"/>
        <scheme val="minor"/>
      </rPr>
      <t>Proj,recy,Fe,y</t>
    </r>
  </si>
  <si>
    <r>
      <t>s</t>
    </r>
    <r>
      <rPr>
        <vertAlign val="subscript"/>
        <sz val="9"/>
        <color theme="1"/>
        <rFont val="Calibri"/>
        <family val="2"/>
        <scheme val="minor"/>
      </rPr>
      <t>Proj,recy,Co,y</t>
    </r>
  </si>
  <si>
    <r>
      <t>s</t>
    </r>
    <r>
      <rPr>
        <vertAlign val="subscript"/>
        <sz val="9"/>
        <color theme="1"/>
        <rFont val="Calibri"/>
        <family val="2"/>
        <scheme val="minor"/>
      </rPr>
      <t>Proj,recy,Ni,y</t>
    </r>
  </si>
  <si>
    <r>
      <t>s</t>
    </r>
    <r>
      <rPr>
        <vertAlign val="subscript"/>
        <sz val="9"/>
        <color theme="1"/>
        <rFont val="Calibri"/>
        <family val="2"/>
        <scheme val="minor"/>
      </rPr>
      <t>Proj,recy,Cu,y</t>
    </r>
  </si>
  <si>
    <r>
      <t>s</t>
    </r>
    <r>
      <rPr>
        <vertAlign val="subscript"/>
        <sz val="9"/>
        <color theme="1"/>
        <rFont val="Calibri"/>
        <family val="2"/>
        <scheme val="minor"/>
      </rPr>
      <t>Proj,recy,Zn,y</t>
    </r>
  </si>
  <si>
    <r>
      <t>s</t>
    </r>
    <r>
      <rPr>
        <vertAlign val="subscript"/>
        <sz val="9"/>
        <color theme="1"/>
        <rFont val="Calibri"/>
        <family val="2"/>
        <scheme val="minor"/>
      </rPr>
      <t>Proj,recy,S,y</t>
    </r>
  </si>
  <si>
    <r>
      <t>s</t>
    </r>
    <r>
      <rPr>
        <vertAlign val="subscript"/>
        <sz val="9"/>
        <color theme="1"/>
        <rFont val="Calibri"/>
        <family val="2"/>
        <scheme val="minor"/>
      </rPr>
      <t>Proj,recy,F,y</t>
    </r>
  </si>
  <si>
    <r>
      <t>Proj</t>
    </r>
    <r>
      <rPr>
        <vertAlign val="subscript"/>
        <sz val="9"/>
        <color theme="1"/>
        <rFont val="Calibri"/>
        <family val="2"/>
        <scheme val="minor"/>
      </rPr>
      <t xml:space="preserve">raw,k </t>
    </r>
  </si>
  <si>
    <r>
      <t>Proj</t>
    </r>
    <r>
      <rPr>
        <vertAlign val="subscript"/>
        <sz val="9"/>
        <color theme="1"/>
        <rFont val="Calibri"/>
        <family val="2"/>
        <scheme val="minor"/>
      </rPr>
      <t>raw,Li</t>
    </r>
  </si>
  <si>
    <r>
      <t>Proj</t>
    </r>
    <r>
      <rPr>
        <vertAlign val="subscript"/>
        <sz val="9"/>
        <color theme="1"/>
        <rFont val="Calibri"/>
        <family val="2"/>
        <scheme val="minor"/>
      </rPr>
      <t>raw,Na</t>
    </r>
  </si>
  <si>
    <r>
      <t>Proj</t>
    </r>
    <r>
      <rPr>
        <vertAlign val="subscript"/>
        <sz val="9"/>
        <color theme="1"/>
        <rFont val="Calibri"/>
        <family val="2"/>
        <scheme val="minor"/>
      </rPr>
      <t>raw,Al</t>
    </r>
  </si>
  <si>
    <r>
      <t>Proj</t>
    </r>
    <r>
      <rPr>
        <vertAlign val="subscript"/>
        <sz val="9"/>
        <color theme="1"/>
        <rFont val="Calibri"/>
        <family val="2"/>
        <scheme val="minor"/>
      </rPr>
      <t>raw,Si</t>
    </r>
  </si>
  <si>
    <r>
      <t>Proj</t>
    </r>
    <r>
      <rPr>
        <vertAlign val="subscript"/>
        <sz val="9"/>
        <color theme="1"/>
        <rFont val="Calibri"/>
        <family val="2"/>
        <scheme val="minor"/>
      </rPr>
      <t>raw,Ti</t>
    </r>
  </si>
  <si>
    <r>
      <t>Proj</t>
    </r>
    <r>
      <rPr>
        <vertAlign val="subscript"/>
        <sz val="9"/>
        <color theme="1"/>
        <rFont val="Calibri"/>
        <family val="2"/>
        <scheme val="minor"/>
      </rPr>
      <t>raw,V</t>
    </r>
  </si>
  <si>
    <r>
      <t>Proj</t>
    </r>
    <r>
      <rPr>
        <vertAlign val="subscript"/>
        <sz val="9"/>
        <color theme="1"/>
        <rFont val="Calibri"/>
        <family val="2"/>
        <scheme val="minor"/>
      </rPr>
      <t>raw,Mn</t>
    </r>
  </si>
  <si>
    <r>
      <t>Proj</t>
    </r>
    <r>
      <rPr>
        <vertAlign val="subscript"/>
        <sz val="9"/>
        <color theme="1"/>
        <rFont val="Calibri"/>
        <family val="2"/>
        <scheme val="minor"/>
      </rPr>
      <t>raw,Fe</t>
    </r>
  </si>
  <si>
    <r>
      <t>Proj</t>
    </r>
    <r>
      <rPr>
        <vertAlign val="subscript"/>
        <sz val="9"/>
        <color theme="1"/>
        <rFont val="Calibri"/>
        <family val="2"/>
        <scheme val="minor"/>
      </rPr>
      <t>raw,Co</t>
    </r>
  </si>
  <si>
    <r>
      <t>Proj</t>
    </r>
    <r>
      <rPr>
        <vertAlign val="subscript"/>
        <sz val="9"/>
        <color theme="1"/>
        <rFont val="Calibri"/>
        <family val="2"/>
        <scheme val="minor"/>
      </rPr>
      <t>raw,Ni</t>
    </r>
  </si>
  <si>
    <r>
      <t>Proj</t>
    </r>
    <r>
      <rPr>
        <vertAlign val="subscript"/>
        <sz val="9"/>
        <color theme="1"/>
        <rFont val="Calibri"/>
        <family val="2"/>
        <scheme val="minor"/>
      </rPr>
      <t>raw,Cu</t>
    </r>
  </si>
  <si>
    <r>
      <t>Proj</t>
    </r>
    <r>
      <rPr>
        <vertAlign val="subscript"/>
        <sz val="9"/>
        <color theme="1"/>
        <rFont val="Calibri"/>
        <family val="2"/>
        <scheme val="minor"/>
      </rPr>
      <t>raw,Zn</t>
    </r>
  </si>
  <si>
    <r>
      <t>Proj</t>
    </r>
    <r>
      <rPr>
        <vertAlign val="subscript"/>
        <sz val="9"/>
        <color theme="1"/>
        <rFont val="Calibri"/>
        <family val="2"/>
        <scheme val="minor"/>
      </rPr>
      <t xml:space="preserve">raw,S </t>
    </r>
  </si>
  <si>
    <r>
      <t>Proj</t>
    </r>
    <r>
      <rPr>
        <vertAlign val="subscript"/>
        <sz val="9"/>
        <color theme="1"/>
        <rFont val="Calibri"/>
        <family val="2"/>
        <scheme val="minor"/>
      </rPr>
      <t xml:space="preserve">raw,F </t>
    </r>
  </si>
  <si>
    <t>Non-energy emissions</t>
  </si>
  <si>
    <r>
      <t>s</t>
    </r>
    <r>
      <rPr>
        <vertAlign val="subscript"/>
        <sz val="9"/>
        <color theme="1"/>
        <rFont val="Calibri"/>
        <family val="2"/>
        <scheme val="minor"/>
      </rPr>
      <t>up-in,Proj,j,y</t>
    </r>
  </si>
  <si>
    <r>
      <t>s</t>
    </r>
    <r>
      <rPr>
        <vertAlign val="subscript"/>
        <sz val="9"/>
        <color theme="1"/>
        <rFont val="Calibri"/>
        <family val="2"/>
        <scheme val="minor"/>
      </rPr>
      <t>up-in,Proj,pCAM,y</t>
    </r>
  </si>
  <si>
    <r>
      <t>s</t>
    </r>
    <r>
      <rPr>
        <vertAlign val="subscript"/>
        <sz val="9"/>
        <color theme="1"/>
        <rFont val="Calibri"/>
        <family val="2"/>
        <scheme val="minor"/>
      </rPr>
      <t>up-in,Proj,CAM,y</t>
    </r>
  </si>
  <si>
    <r>
      <t>s</t>
    </r>
    <r>
      <rPr>
        <vertAlign val="subscript"/>
        <sz val="9"/>
        <color theme="1"/>
        <rFont val="Calibri"/>
        <family val="2"/>
        <scheme val="minor"/>
      </rPr>
      <t>up-in,Proj,AAM,y</t>
    </r>
  </si>
  <si>
    <r>
      <t>s</t>
    </r>
    <r>
      <rPr>
        <vertAlign val="subscript"/>
        <sz val="9"/>
        <color theme="1"/>
        <rFont val="Calibri"/>
        <family val="2"/>
        <scheme val="minor"/>
      </rPr>
      <t>up-in,Proj,electrolyte,y</t>
    </r>
  </si>
  <si>
    <r>
      <t>s</t>
    </r>
    <r>
      <rPr>
        <vertAlign val="subscript"/>
        <sz val="9"/>
        <color theme="1"/>
        <rFont val="Calibri"/>
        <family val="2"/>
        <scheme val="minor"/>
      </rPr>
      <t>up-in,Proj,separator,y</t>
    </r>
  </si>
  <si>
    <r>
      <t>EF</t>
    </r>
    <r>
      <rPr>
        <vertAlign val="subscript"/>
        <sz val="9"/>
        <color theme="1"/>
        <rFont val="Calibri"/>
        <family val="2"/>
        <scheme val="minor"/>
      </rPr>
      <t>up,Proj,j,y</t>
    </r>
    <r>
      <rPr>
        <sz val="9"/>
        <color theme="1"/>
        <rFont val="Calibri"/>
        <family val="2"/>
        <scheme val="minor"/>
      </rPr>
      <t xml:space="preserve"> </t>
    </r>
  </si>
  <si>
    <r>
      <t>EF</t>
    </r>
    <r>
      <rPr>
        <vertAlign val="subscript"/>
        <sz val="9"/>
        <color theme="1"/>
        <rFont val="Calibri"/>
        <family val="2"/>
        <scheme val="minor"/>
      </rPr>
      <t>up,Proj,pCAM,y</t>
    </r>
    <r>
      <rPr>
        <sz val="9"/>
        <color theme="1"/>
        <rFont val="Calibri"/>
        <family val="2"/>
        <scheme val="minor"/>
      </rPr>
      <t xml:space="preserve"> </t>
    </r>
  </si>
  <si>
    <r>
      <t>EF</t>
    </r>
    <r>
      <rPr>
        <vertAlign val="subscript"/>
        <sz val="9"/>
        <color theme="1"/>
        <rFont val="Calibri"/>
        <family val="2"/>
        <scheme val="minor"/>
      </rPr>
      <t>up,Proj,CAM,y</t>
    </r>
    <r>
      <rPr>
        <sz val="9"/>
        <color theme="1"/>
        <rFont val="Calibri"/>
        <family val="2"/>
        <scheme val="minor"/>
      </rPr>
      <t xml:space="preserve"> </t>
    </r>
  </si>
  <si>
    <r>
      <t>EF</t>
    </r>
    <r>
      <rPr>
        <vertAlign val="subscript"/>
        <sz val="9"/>
        <color theme="1"/>
        <rFont val="Calibri"/>
        <family val="2"/>
        <scheme val="minor"/>
      </rPr>
      <t>up,Proj,AAM,y</t>
    </r>
    <r>
      <rPr>
        <sz val="9"/>
        <color theme="1"/>
        <rFont val="Calibri"/>
        <family val="2"/>
        <scheme val="minor"/>
      </rPr>
      <t xml:space="preserve"> </t>
    </r>
  </si>
  <si>
    <r>
      <t>EF</t>
    </r>
    <r>
      <rPr>
        <vertAlign val="subscript"/>
        <sz val="9"/>
        <color theme="1"/>
        <rFont val="Calibri"/>
        <family val="2"/>
        <scheme val="minor"/>
      </rPr>
      <t>up,Proj,electrolyte,y</t>
    </r>
    <r>
      <rPr>
        <sz val="9"/>
        <color theme="1"/>
        <rFont val="Calibri"/>
        <family val="2"/>
        <scheme val="minor"/>
      </rPr>
      <t xml:space="preserve"> </t>
    </r>
  </si>
  <si>
    <r>
      <t>EF</t>
    </r>
    <r>
      <rPr>
        <vertAlign val="subscript"/>
        <sz val="9"/>
        <color theme="1"/>
        <rFont val="Calibri"/>
        <family val="2"/>
        <scheme val="minor"/>
      </rPr>
      <t>up,Proj,separator,y</t>
    </r>
    <r>
      <rPr>
        <sz val="9"/>
        <color theme="1"/>
        <rFont val="Calibri"/>
        <family val="2"/>
        <scheme val="minor"/>
      </rPr>
      <t xml:space="preserve"> </t>
    </r>
  </si>
  <si>
    <r>
      <t>EF</t>
    </r>
    <r>
      <rPr>
        <vertAlign val="subscript"/>
        <sz val="9"/>
        <color theme="1"/>
        <rFont val="Calibri"/>
        <family val="2"/>
        <scheme val="minor"/>
      </rPr>
      <t>up,Proj,Al-currentcollector,y</t>
    </r>
    <r>
      <rPr>
        <sz val="9"/>
        <color theme="1"/>
        <rFont val="Calibri"/>
        <family val="2"/>
        <scheme val="minor"/>
      </rPr>
      <t xml:space="preserve"> </t>
    </r>
  </si>
  <si>
    <r>
      <t>EF</t>
    </r>
    <r>
      <rPr>
        <vertAlign val="subscript"/>
        <sz val="9"/>
        <color theme="1"/>
        <rFont val="Calibri"/>
        <family val="2"/>
        <scheme val="minor"/>
      </rPr>
      <t>up,Proj,Cu-currentcollector,y</t>
    </r>
    <r>
      <rPr>
        <sz val="9"/>
        <color theme="1"/>
        <rFont val="Calibri"/>
        <family val="2"/>
        <scheme val="minor"/>
      </rPr>
      <t xml:space="preserve"> </t>
    </r>
  </si>
  <si>
    <t>Amount of Lithium (elemental equivalent) processed by the project</t>
  </si>
  <si>
    <t>Amount of Sodium (elemental equivalent) processed by the project</t>
  </si>
  <si>
    <t>Share of Lithium (elemental equivalent) from recycling processed by the project</t>
  </si>
  <si>
    <t>Share of Sodium (elemental equivalent) from recycling processed by the project</t>
  </si>
  <si>
    <t>Share of Aluminum (elemental equivalent) from recycling processed by the project</t>
  </si>
  <si>
    <t>Share of recycled  of Silicon (elemental equivalent) from recycling  processed by the project</t>
  </si>
  <si>
    <t>Share of recycled Titanium (elemental equivalent) from recycling processed by the project</t>
  </si>
  <si>
    <t>Share of Vanadium (elemental equivalent) from recycling processed by the project</t>
  </si>
  <si>
    <t>Share of Manganese (elemental equivalent) from recycling  processed by the project</t>
  </si>
  <si>
    <t>Share of Iron (elemental equivalent) from recycling processed by the project</t>
  </si>
  <si>
    <t>Share of Cobalt (elemental equivalent) from recycling processed by the project</t>
  </si>
  <si>
    <t>Share of Nickel (elemental equivalent) from recycling processed by the project</t>
  </si>
  <si>
    <t>Share of Copper (elemental equivalent) from recycling processed by the project</t>
  </si>
  <si>
    <t>Share of Zinc (elemental equivalent) from recycling processed by the project</t>
  </si>
  <si>
    <t>Share of Sulfur (elemental equivalent) from recycling processed by the project</t>
  </si>
  <si>
    <t>Share of Fluorine (elemental equivalent) from recycling processed by the project</t>
  </si>
  <si>
    <t>Amount of Aluminum (elemental equivalent) processed by the project</t>
  </si>
  <si>
    <t>Amount of Silicon (elemental equivalent) processed by the project</t>
  </si>
  <si>
    <t>Amount of Titanium (elemental equivalent) processed by the project</t>
  </si>
  <si>
    <t>Amount of Vanadium (elemental equivalent) processed by the project</t>
  </si>
  <si>
    <t>Amount of Manganese (elemental equivalent) processed by the project</t>
  </si>
  <si>
    <t>Amount of Iron (elemental equivalent) processed by the project</t>
  </si>
  <si>
    <t>Amount of Cobalt (elemental equivalent) processed by the project</t>
  </si>
  <si>
    <t>Amount of Nickel (elemental equivalent) processed by the project</t>
  </si>
  <si>
    <t>Amount of Copper (elemental equivalent) processed by the project</t>
  </si>
  <si>
    <t>Amount of Zinc (elemental equivalent) processed by the project</t>
  </si>
  <si>
    <t>Amount of Sulfur (elemental equivalent) processed by the project</t>
  </si>
  <si>
    <t>Amount of Fluorine (elemental equivalent) processed by the project</t>
  </si>
  <si>
    <t>Amount of Lithium (elemental equivalent) processed by the reference</t>
  </si>
  <si>
    <t>Amount of Sodium (elemental equivalent) processed by the reference</t>
  </si>
  <si>
    <t>Amount of Aluminum (elemental equivalent) processed by the reference</t>
  </si>
  <si>
    <t>Amount of Silicon (elemental equivalent) processed by the reference</t>
  </si>
  <si>
    <t>Amount of Titanium (elemental equivalent) processed by the reference</t>
  </si>
  <si>
    <t>Amount of Vanadium (elemental equivalent) processed by the reference</t>
  </si>
  <si>
    <t>Amount of Manganese (elemental equivalent) processed by the reference</t>
  </si>
  <si>
    <t>Amount of Iron (elemental equivalent) processed by the reference</t>
  </si>
  <si>
    <t>Amount of Cobalt (elemental equivalent) processed by the reference</t>
  </si>
  <si>
    <t>Amount of Nickel (elemental equivalent) processed by the reference</t>
  </si>
  <si>
    <t>Amount of Copper (elemental equivalent) processed by the reference</t>
  </si>
  <si>
    <t>Amount of Zinc (elemental equivalent) processed by the reference</t>
  </si>
  <si>
    <t>Amount of Sulfur (elemental equivalent) processed by the reference</t>
  </si>
  <si>
    <t>Amount of Fluorine (elemental equivalent) processed by the reference</t>
  </si>
  <si>
    <t>Share of carbons from recycling processed by the project</t>
  </si>
  <si>
    <r>
      <t>P</t>
    </r>
    <r>
      <rPr>
        <vertAlign val="subscript"/>
        <sz val="10"/>
        <color theme="1"/>
        <rFont val="Arial"/>
        <family val="2"/>
      </rPr>
      <t>in</t>
    </r>
  </si>
  <si>
    <r>
      <t>s</t>
    </r>
    <r>
      <rPr>
        <vertAlign val="subscript"/>
        <sz val="9"/>
        <color theme="1"/>
        <rFont val="Calibri"/>
        <family val="2"/>
        <scheme val="minor"/>
      </rPr>
      <t>Proj,recy,P,y</t>
    </r>
  </si>
  <si>
    <t>Share of recycled Phosphorus (elemental equivalent) from recycling processed by the project</t>
  </si>
  <si>
    <r>
      <t>Zr</t>
    </r>
    <r>
      <rPr>
        <vertAlign val="subscript"/>
        <sz val="10"/>
        <color theme="1"/>
        <rFont val="Arial"/>
        <family val="2"/>
      </rPr>
      <t>in</t>
    </r>
  </si>
  <si>
    <r>
      <t>s</t>
    </r>
    <r>
      <rPr>
        <vertAlign val="subscript"/>
        <sz val="9"/>
        <color theme="1"/>
        <rFont val="Calibri"/>
        <family val="2"/>
        <scheme val="minor"/>
      </rPr>
      <t>Proj,recy,Zr,y</t>
    </r>
  </si>
  <si>
    <t>Share of Zirconium (elemental equivalent) from recycling processed by the project</t>
  </si>
  <si>
    <r>
      <t>La</t>
    </r>
    <r>
      <rPr>
        <vertAlign val="subscript"/>
        <sz val="10"/>
        <color theme="1"/>
        <rFont val="Arial"/>
        <family val="2"/>
      </rPr>
      <t>in</t>
    </r>
  </si>
  <si>
    <r>
      <t>s</t>
    </r>
    <r>
      <rPr>
        <vertAlign val="subscript"/>
        <sz val="9"/>
        <color theme="1"/>
        <rFont val="Calibri"/>
        <family val="2"/>
        <scheme val="minor"/>
      </rPr>
      <t>Proj,recy,La,y</t>
    </r>
  </si>
  <si>
    <t>Share of Lanthanum (elemental equivalent) from recycling processed by the project</t>
  </si>
  <si>
    <r>
      <t>Cl</t>
    </r>
    <r>
      <rPr>
        <vertAlign val="subscript"/>
        <sz val="10"/>
        <color theme="1"/>
        <rFont val="Arial"/>
        <family val="2"/>
      </rPr>
      <t>in</t>
    </r>
  </si>
  <si>
    <r>
      <t>s</t>
    </r>
    <r>
      <rPr>
        <vertAlign val="subscript"/>
        <sz val="9"/>
        <color theme="1"/>
        <rFont val="Calibri"/>
        <family val="2"/>
        <scheme val="minor"/>
      </rPr>
      <t>Proj,recy,Cl,y</t>
    </r>
  </si>
  <si>
    <t>Share of Chlorine (elemental equivalent) from recycling processed by the project</t>
  </si>
  <si>
    <r>
      <t>Ge</t>
    </r>
    <r>
      <rPr>
        <vertAlign val="subscript"/>
        <sz val="10"/>
        <color theme="1"/>
        <rFont val="Arial"/>
        <family val="2"/>
      </rPr>
      <t>in</t>
    </r>
  </si>
  <si>
    <r>
      <t>s</t>
    </r>
    <r>
      <rPr>
        <vertAlign val="subscript"/>
        <sz val="9"/>
        <color theme="1"/>
        <rFont val="Calibri"/>
        <family val="2"/>
        <scheme val="minor"/>
      </rPr>
      <t>Proj,recy,Ge,y</t>
    </r>
  </si>
  <si>
    <t>Share of Germanium (elemental equivalent) from recycling processed by the project</t>
  </si>
  <si>
    <r>
      <t>Carbon</t>
    </r>
    <r>
      <rPr>
        <vertAlign val="subscript"/>
        <sz val="10"/>
        <color theme="1"/>
        <rFont val="Arial"/>
        <family val="2"/>
      </rPr>
      <t>in</t>
    </r>
  </si>
  <si>
    <t>Share of carbon from recycling processed by the project</t>
  </si>
  <si>
    <r>
      <t>s</t>
    </r>
    <r>
      <rPr>
        <vertAlign val="subscript"/>
        <sz val="9"/>
        <color theme="1"/>
        <rFont val="Calibri"/>
        <family val="2"/>
        <scheme val="minor"/>
      </rPr>
      <t>Proj,recy,Carbon,y</t>
    </r>
  </si>
  <si>
    <r>
      <t>Proj</t>
    </r>
    <r>
      <rPr>
        <vertAlign val="subscript"/>
        <sz val="9"/>
        <color theme="1"/>
        <rFont val="Calibri"/>
        <family val="2"/>
        <scheme val="minor"/>
      </rPr>
      <t xml:space="preserve">raw,P </t>
    </r>
  </si>
  <si>
    <r>
      <t>Proj</t>
    </r>
    <r>
      <rPr>
        <vertAlign val="subscript"/>
        <sz val="9"/>
        <color theme="1"/>
        <rFont val="Calibri"/>
        <family val="2"/>
        <scheme val="minor"/>
      </rPr>
      <t xml:space="preserve">raw,Cl </t>
    </r>
  </si>
  <si>
    <r>
      <t>Proj</t>
    </r>
    <r>
      <rPr>
        <vertAlign val="subscript"/>
        <sz val="9"/>
        <color theme="1"/>
        <rFont val="Calibri"/>
        <family val="2"/>
        <scheme val="minor"/>
      </rPr>
      <t>raw,Ge</t>
    </r>
  </si>
  <si>
    <r>
      <t>Proj</t>
    </r>
    <r>
      <rPr>
        <vertAlign val="subscript"/>
        <sz val="9"/>
        <color theme="1"/>
        <rFont val="Calibri"/>
        <family val="2"/>
        <scheme val="minor"/>
      </rPr>
      <t>raw,Zr</t>
    </r>
  </si>
  <si>
    <r>
      <t>Proj</t>
    </r>
    <r>
      <rPr>
        <vertAlign val="subscript"/>
        <sz val="9"/>
        <color theme="1"/>
        <rFont val="Calibri"/>
        <family val="2"/>
        <scheme val="minor"/>
      </rPr>
      <t>raw,La</t>
    </r>
  </si>
  <si>
    <t>Amount of Carbon (e.g. Graphite, carbon black) processed by the project</t>
  </si>
  <si>
    <r>
      <t>Proj</t>
    </r>
    <r>
      <rPr>
        <vertAlign val="subscript"/>
        <sz val="9"/>
        <color theme="1"/>
        <rFont val="Calibri"/>
        <family val="2"/>
        <scheme val="minor"/>
      </rPr>
      <t>raw,Caarbon</t>
    </r>
  </si>
  <si>
    <t>Amount of Phosphorus (elemental equivalent) processed by the project</t>
  </si>
  <si>
    <t>Amount of Chlorine (elemental equivalent) processed by the project</t>
  </si>
  <si>
    <t>Amount of Germanium (elemental equivalent) processed by the project</t>
  </si>
  <si>
    <t>Amount of Zirconium (elemental equivalent) processed by the project</t>
  </si>
  <si>
    <t>Amount of Lanthanum (elemental equivalent) processed by the project</t>
  </si>
  <si>
    <t>Carbon_in recycled</t>
  </si>
  <si>
    <r>
      <t>EF</t>
    </r>
    <r>
      <rPr>
        <vertAlign val="subscript"/>
        <sz val="9"/>
        <color theme="1"/>
        <rFont val="Calibri"/>
        <family val="2"/>
        <scheme val="minor"/>
      </rPr>
      <t>recy,Carbon</t>
    </r>
  </si>
  <si>
    <t>Carbon_in primary</t>
  </si>
  <si>
    <r>
      <t>EF</t>
    </r>
    <r>
      <rPr>
        <vertAlign val="subscript"/>
        <sz val="9"/>
        <color theme="1"/>
        <rFont val="Calibri"/>
        <family val="2"/>
        <scheme val="minor"/>
      </rPr>
      <t>raw,Carbon</t>
    </r>
  </si>
  <si>
    <r>
      <t>EF</t>
    </r>
    <r>
      <rPr>
        <vertAlign val="subscript"/>
        <sz val="9"/>
        <color theme="1"/>
        <rFont val="Calibri"/>
        <family val="2"/>
        <scheme val="minor"/>
      </rPr>
      <t>recy,F</t>
    </r>
  </si>
  <si>
    <r>
      <t>EF</t>
    </r>
    <r>
      <rPr>
        <vertAlign val="subscript"/>
        <sz val="9"/>
        <color theme="1"/>
        <rFont val="Calibri"/>
        <family val="2"/>
        <scheme val="minor"/>
      </rPr>
      <t>raw,F</t>
    </r>
  </si>
  <si>
    <r>
      <t>EF</t>
    </r>
    <r>
      <rPr>
        <vertAlign val="subscript"/>
        <sz val="9"/>
        <color theme="1"/>
        <rFont val="Calibri"/>
        <family val="2"/>
        <scheme val="minor"/>
      </rPr>
      <t>recy,P</t>
    </r>
  </si>
  <si>
    <r>
      <t>EF</t>
    </r>
    <r>
      <rPr>
        <vertAlign val="subscript"/>
        <sz val="9"/>
        <color theme="1"/>
        <rFont val="Calibri"/>
        <family val="2"/>
        <scheme val="minor"/>
      </rPr>
      <t>recy,Cl</t>
    </r>
  </si>
  <si>
    <t>Cl_in recycled</t>
  </si>
  <si>
    <t>P_in recycled</t>
  </si>
  <si>
    <t>Ge_in recycled</t>
  </si>
  <si>
    <t>Zr_in recycled</t>
  </si>
  <si>
    <t>La_in recycled</t>
  </si>
  <si>
    <r>
      <t>EF</t>
    </r>
    <r>
      <rPr>
        <vertAlign val="subscript"/>
        <sz val="9"/>
        <color theme="1"/>
        <rFont val="Calibri"/>
        <family val="2"/>
        <scheme val="minor"/>
      </rPr>
      <t>recy,Ge</t>
    </r>
  </si>
  <si>
    <r>
      <t>EF</t>
    </r>
    <r>
      <rPr>
        <vertAlign val="subscript"/>
        <sz val="9"/>
        <color theme="1"/>
        <rFont val="Calibri"/>
        <family val="2"/>
        <scheme val="minor"/>
      </rPr>
      <t>recy,Zr</t>
    </r>
  </si>
  <si>
    <r>
      <t>EF</t>
    </r>
    <r>
      <rPr>
        <vertAlign val="subscript"/>
        <sz val="9"/>
        <color theme="1"/>
        <rFont val="Calibri"/>
        <family val="2"/>
        <scheme val="minor"/>
      </rPr>
      <t>recy,La</t>
    </r>
  </si>
  <si>
    <t>P_in primary</t>
  </si>
  <si>
    <t>Cl_in primary</t>
  </si>
  <si>
    <r>
      <t>EF</t>
    </r>
    <r>
      <rPr>
        <vertAlign val="subscript"/>
        <sz val="9"/>
        <color theme="1"/>
        <rFont val="Calibri"/>
        <family val="2"/>
        <scheme val="minor"/>
      </rPr>
      <t>raw,S</t>
    </r>
  </si>
  <si>
    <t>Ge_in primary</t>
  </si>
  <si>
    <t>Zr_in primary</t>
  </si>
  <si>
    <t>La_in primary</t>
  </si>
  <si>
    <r>
      <t>EF</t>
    </r>
    <r>
      <rPr>
        <vertAlign val="subscript"/>
        <sz val="9"/>
        <color theme="1"/>
        <rFont val="Calibri"/>
        <family val="2"/>
        <scheme val="minor"/>
      </rPr>
      <t>raw,Ge</t>
    </r>
  </si>
  <si>
    <r>
      <t>EF</t>
    </r>
    <r>
      <rPr>
        <vertAlign val="subscript"/>
        <sz val="9"/>
        <color theme="1"/>
        <rFont val="Calibri"/>
        <family val="2"/>
        <scheme val="minor"/>
      </rPr>
      <t>raw,Zr</t>
    </r>
  </si>
  <si>
    <r>
      <t>EF</t>
    </r>
    <r>
      <rPr>
        <vertAlign val="subscript"/>
        <sz val="9"/>
        <color theme="1"/>
        <rFont val="Calibri"/>
        <family val="2"/>
        <scheme val="minor"/>
      </rPr>
      <t>raw,La</t>
    </r>
  </si>
  <si>
    <t>BoM Reference P SOTA</t>
  </si>
  <si>
    <t>BoM Reference Cl SOTA</t>
  </si>
  <si>
    <r>
      <t>Ref</t>
    </r>
    <r>
      <rPr>
        <vertAlign val="subscript"/>
        <sz val="9"/>
        <color theme="1"/>
        <rFont val="Calibri"/>
        <family val="2"/>
        <scheme val="minor"/>
      </rPr>
      <t>raw,Cl</t>
    </r>
  </si>
  <si>
    <r>
      <t>Ref</t>
    </r>
    <r>
      <rPr>
        <vertAlign val="subscript"/>
        <sz val="9"/>
        <color theme="1"/>
        <rFont val="Calibri"/>
        <family val="2"/>
        <scheme val="minor"/>
      </rPr>
      <t>raw,P</t>
    </r>
  </si>
  <si>
    <t>BoM Reference Ge SOTA</t>
  </si>
  <si>
    <t>BoM Reference Zr SOTA</t>
  </si>
  <si>
    <t>BoM Reference La SOTA</t>
  </si>
  <si>
    <r>
      <t>Ref</t>
    </r>
    <r>
      <rPr>
        <vertAlign val="subscript"/>
        <sz val="9"/>
        <color theme="1"/>
        <rFont val="Calibri"/>
        <family val="2"/>
        <scheme val="minor"/>
      </rPr>
      <t>raw,La</t>
    </r>
  </si>
  <si>
    <r>
      <t>Ref</t>
    </r>
    <r>
      <rPr>
        <vertAlign val="subscript"/>
        <sz val="9"/>
        <color theme="1"/>
        <rFont val="Calibri"/>
        <family val="2"/>
        <scheme val="minor"/>
      </rPr>
      <t>raw,Ge</t>
    </r>
  </si>
  <si>
    <r>
      <t>Ref</t>
    </r>
    <r>
      <rPr>
        <vertAlign val="subscript"/>
        <sz val="9"/>
        <color theme="1"/>
        <rFont val="Calibri"/>
        <family val="2"/>
        <scheme val="minor"/>
      </rPr>
      <t>raw,Zr</t>
    </r>
  </si>
  <si>
    <t>Mix of 20% LFP cells and 80% NMC622 cells, 2023 technology</t>
  </si>
  <si>
    <t>Amount of Germanium (elemental equivalent) processed by the reference</t>
  </si>
  <si>
    <t>Amount of Zirconium (elemental equivalent) processed by the reference</t>
  </si>
  <si>
    <t>Amount of Lanthanum (elemental equivalent) processed by the reference</t>
  </si>
  <si>
    <t>Amount of Chlorine (elemental equivalent) processed by the reference</t>
  </si>
  <si>
    <t>Amount of Phosphorus (elemental equivalent) processed by the reference</t>
  </si>
  <si>
    <t>Amount of Carbon (e.g. Graphite, carbon black) processed by the reference</t>
  </si>
  <si>
    <r>
      <t>Ref</t>
    </r>
    <r>
      <rPr>
        <vertAlign val="subscript"/>
        <sz val="9"/>
        <color theme="1"/>
        <rFont val="Calibri"/>
        <family val="2"/>
        <scheme val="minor"/>
      </rPr>
      <t>raw,Carbon</t>
    </r>
  </si>
  <si>
    <r>
      <t>s</t>
    </r>
    <r>
      <rPr>
        <vertAlign val="subscript"/>
        <sz val="9"/>
        <color theme="1"/>
        <rFont val="Calibri"/>
        <family val="2"/>
        <scheme val="minor"/>
      </rPr>
      <t>ref,recy,P,y</t>
    </r>
  </si>
  <si>
    <t>Share of Phosphorus (elemental equivalent) from recycling processed by the project</t>
  </si>
  <si>
    <r>
      <t>s</t>
    </r>
    <r>
      <rPr>
        <vertAlign val="subscript"/>
        <sz val="9"/>
        <color theme="1"/>
        <rFont val="Calibri"/>
        <family val="2"/>
        <scheme val="minor"/>
      </rPr>
      <t>ref,recy,Cl,y</t>
    </r>
  </si>
  <si>
    <r>
      <t>s</t>
    </r>
    <r>
      <rPr>
        <vertAlign val="subscript"/>
        <sz val="9"/>
        <color theme="1"/>
        <rFont val="Calibri"/>
        <family val="2"/>
        <scheme val="minor"/>
      </rPr>
      <t>ref,recy,Ge,y</t>
    </r>
  </si>
  <si>
    <r>
      <t>s</t>
    </r>
    <r>
      <rPr>
        <vertAlign val="subscript"/>
        <sz val="9"/>
        <color theme="1"/>
        <rFont val="Calibri"/>
        <family val="2"/>
        <scheme val="minor"/>
      </rPr>
      <t>ref,recy,Zr,y</t>
    </r>
  </si>
  <si>
    <r>
      <t>s</t>
    </r>
    <r>
      <rPr>
        <vertAlign val="subscript"/>
        <sz val="9"/>
        <color theme="1"/>
        <rFont val="Calibri"/>
        <family val="2"/>
        <scheme val="minor"/>
      </rPr>
      <t>ref,recy,La,y</t>
    </r>
  </si>
  <si>
    <t>Ecoinvent DB, 5657, 26331</t>
  </si>
  <si>
    <t>Ecoinvent DB, 22675, 23500</t>
  </si>
  <si>
    <t>Primary production from Robertz et al. 2015, DOI: 10.1007/s11837-014-1267-6</t>
  </si>
  <si>
    <t>Secondary production from Robertz et al. 2015, DOI: 10.1007/s11837-014-1267-6</t>
  </si>
  <si>
    <r>
      <t>EF</t>
    </r>
    <r>
      <rPr>
        <vertAlign val="subscript"/>
        <sz val="9"/>
        <color theme="1"/>
        <rFont val="Calibri"/>
        <family val="2"/>
        <scheme val="minor"/>
      </rPr>
      <t>raw,P</t>
    </r>
  </si>
  <si>
    <r>
      <t>EF</t>
    </r>
    <r>
      <rPr>
        <vertAlign val="subscript"/>
        <sz val="9"/>
        <color theme="1"/>
        <rFont val="Calibri"/>
        <family val="2"/>
        <scheme val="minor"/>
      </rPr>
      <t>raw,Cl</t>
    </r>
  </si>
  <si>
    <t>Belboom et al. 2015 http://dx.doi.org/10.1016/j.jclepro.2015.06.141</t>
  </si>
  <si>
    <t>Ecoinvent DB, 19069</t>
  </si>
  <si>
    <t>Ecoinvent DB, 2085, 24583 (50/50 mix of brine and spodumene)</t>
  </si>
  <si>
    <r>
      <t>EF</t>
    </r>
    <r>
      <rPr>
        <vertAlign val="subscript"/>
        <sz val="9"/>
        <color theme="1"/>
        <rFont val="Calibri"/>
        <family val="2"/>
        <scheme val="minor"/>
      </rPr>
      <t>recy,S</t>
    </r>
  </si>
  <si>
    <t>Relative GHG avoidance</t>
  </si>
  <si>
    <t>Reference scenario emissions</t>
  </si>
  <si>
    <t>Absolute Manufacturing carbon footprint reduction</t>
  </si>
  <si>
    <t>Manufacturing carbon footprint reduction</t>
  </si>
  <si>
    <t>Reference manufacturing carbon footprint</t>
  </si>
  <si>
    <t>Relative GHG emissions avoided compared to reference battery cell production</t>
  </si>
  <si>
    <r>
      <t>Pb</t>
    </r>
    <r>
      <rPr>
        <vertAlign val="subscript"/>
        <sz val="10"/>
        <color theme="1"/>
        <rFont val="Arial"/>
        <family val="2"/>
      </rPr>
      <t>in</t>
    </r>
  </si>
  <si>
    <t>Share of Lead (elemental equivalent) from recycling processed by the project</t>
  </si>
  <si>
    <r>
      <t>s</t>
    </r>
    <r>
      <rPr>
        <vertAlign val="subscript"/>
        <sz val="9"/>
        <color theme="1"/>
        <rFont val="Calibri"/>
        <family val="2"/>
        <scheme val="minor"/>
      </rPr>
      <t>ref,recy,Pb,y</t>
    </r>
  </si>
  <si>
    <t>Pb_in primary</t>
  </si>
  <si>
    <r>
      <t>EF</t>
    </r>
    <r>
      <rPr>
        <vertAlign val="subscript"/>
        <sz val="9"/>
        <color theme="1"/>
        <rFont val="Calibri"/>
        <family val="2"/>
        <scheme val="minor"/>
      </rPr>
      <t>raw,Pb</t>
    </r>
  </si>
  <si>
    <r>
      <t>EF</t>
    </r>
    <r>
      <rPr>
        <vertAlign val="subscript"/>
        <sz val="9"/>
        <color theme="1"/>
        <rFont val="Calibri"/>
        <family val="2"/>
        <scheme val="minor"/>
      </rPr>
      <t>recy,Pb</t>
    </r>
  </si>
  <si>
    <t>Pb_in recycled</t>
  </si>
  <si>
    <r>
      <t>Ref</t>
    </r>
    <r>
      <rPr>
        <vertAlign val="subscript"/>
        <sz val="9"/>
        <color theme="1"/>
        <rFont val="Calibri"/>
        <family val="2"/>
        <scheme val="minor"/>
      </rPr>
      <t>raw,Pb</t>
    </r>
  </si>
  <si>
    <t>BoM Reference Pb SOTA</t>
  </si>
  <si>
    <t>Amount of Lead (elemental equivalent) processed by the reference</t>
  </si>
  <si>
    <r>
      <t>s</t>
    </r>
    <r>
      <rPr>
        <vertAlign val="subscript"/>
        <sz val="9"/>
        <color theme="1"/>
        <rFont val="Calibri"/>
        <family val="2"/>
        <scheme val="minor"/>
      </rPr>
      <t>Proj,recy,Pb,y</t>
    </r>
  </si>
  <si>
    <r>
      <t>Proj</t>
    </r>
    <r>
      <rPr>
        <vertAlign val="subscript"/>
        <sz val="9"/>
        <color theme="1"/>
        <rFont val="Calibri"/>
        <family val="2"/>
        <scheme val="minor"/>
      </rPr>
      <t>raw,Pb</t>
    </r>
  </si>
  <si>
    <t>Amount of Lead (elemental equivalent) processed by the project</t>
  </si>
  <si>
    <t>Ecoinvent DB, 10760, 21163</t>
  </si>
  <si>
    <t>Ecoinvent DB, 9161</t>
  </si>
  <si>
    <t>Manufacturing carbon footprint</t>
  </si>
  <si>
    <t>Manufacturing: Reference manufacturing carbon footprint per year</t>
  </si>
  <si>
    <t>Manufacturing: Reference energy carriers and non-energy emissions</t>
  </si>
  <si>
    <t>Reference scenario: Use phase diesel need</t>
  </si>
  <si>
    <r>
      <t>Comp</t>
    </r>
    <r>
      <rPr>
        <vertAlign val="subscript"/>
        <sz val="9"/>
        <color theme="1"/>
        <rFont val="Calibri"/>
        <family val="2"/>
        <scheme val="minor"/>
      </rPr>
      <t>up,Proj,j,y</t>
    </r>
    <r>
      <rPr>
        <sz val="9"/>
        <color theme="1"/>
        <rFont val="Calibri"/>
        <family val="2"/>
        <scheme val="minor"/>
      </rPr>
      <t xml:space="preserve"> </t>
    </r>
  </si>
  <si>
    <r>
      <t>Comp</t>
    </r>
    <r>
      <rPr>
        <vertAlign val="subscript"/>
        <sz val="9"/>
        <color theme="1"/>
        <rFont val="Calibri"/>
        <family val="2"/>
        <scheme val="minor"/>
      </rPr>
      <t>up,Proj,pCAM,y</t>
    </r>
    <r>
      <rPr>
        <sz val="9"/>
        <color theme="1"/>
        <rFont val="Calibri"/>
        <family val="2"/>
        <scheme val="minor"/>
      </rPr>
      <t xml:space="preserve"> </t>
    </r>
  </si>
  <si>
    <r>
      <t>Comp</t>
    </r>
    <r>
      <rPr>
        <vertAlign val="subscript"/>
        <sz val="9"/>
        <color theme="1"/>
        <rFont val="Calibri"/>
        <family val="2"/>
        <scheme val="minor"/>
      </rPr>
      <t>up,Proj,CAM,y</t>
    </r>
    <r>
      <rPr>
        <sz val="9"/>
        <color theme="1"/>
        <rFont val="Calibri"/>
        <family val="2"/>
        <scheme val="minor"/>
      </rPr>
      <t xml:space="preserve"> </t>
    </r>
  </si>
  <si>
    <r>
      <t>Comp</t>
    </r>
    <r>
      <rPr>
        <vertAlign val="subscript"/>
        <sz val="9"/>
        <color theme="1"/>
        <rFont val="Calibri"/>
        <family val="2"/>
        <scheme val="minor"/>
      </rPr>
      <t>up,Proj,AAM,y</t>
    </r>
    <r>
      <rPr>
        <sz val="9"/>
        <color theme="1"/>
        <rFont val="Calibri"/>
        <family val="2"/>
        <scheme val="minor"/>
      </rPr>
      <t xml:space="preserve"> </t>
    </r>
  </si>
  <si>
    <r>
      <t>Comp</t>
    </r>
    <r>
      <rPr>
        <vertAlign val="subscript"/>
        <sz val="9"/>
        <color theme="1"/>
        <rFont val="Calibri"/>
        <family val="2"/>
        <scheme val="minor"/>
      </rPr>
      <t>up,Proj,electrolyte,y</t>
    </r>
    <r>
      <rPr>
        <sz val="9"/>
        <color theme="1"/>
        <rFont val="Calibri"/>
        <family val="2"/>
        <scheme val="minor"/>
      </rPr>
      <t xml:space="preserve"> </t>
    </r>
  </si>
  <si>
    <r>
      <t>Comp</t>
    </r>
    <r>
      <rPr>
        <vertAlign val="subscript"/>
        <sz val="9"/>
        <color theme="1"/>
        <rFont val="Calibri"/>
        <family val="2"/>
        <scheme val="minor"/>
      </rPr>
      <t>up,Proj,separator,y</t>
    </r>
    <r>
      <rPr>
        <sz val="9"/>
        <color theme="1"/>
        <rFont val="Calibri"/>
        <family val="2"/>
        <scheme val="minor"/>
      </rPr>
      <t xml:space="preserve"> </t>
    </r>
  </si>
  <si>
    <r>
      <t>Comp</t>
    </r>
    <r>
      <rPr>
        <vertAlign val="subscript"/>
        <sz val="9"/>
        <color theme="1"/>
        <rFont val="Calibri"/>
        <family val="2"/>
        <scheme val="minor"/>
      </rPr>
      <t>up,Proj,Al-CC,y</t>
    </r>
    <r>
      <rPr>
        <sz val="9"/>
        <color theme="1"/>
        <rFont val="Calibri"/>
        <family val="2"/>
        <scheme val="minor"/>
      </rPr>
      <t xml:space="preserve"> </t>
    </r>
  </si>
  <si>
    <r>
      <t>Comp</t>
    </r>
    <r>
      <rPr>
        <vertAlign val="subscript"/>
        <sz val="9"/>
        <color theme="1"/>
        <rFont val="Calibri"/>
        <family val="2"/>
        <scheme val="minor"/>
      </rPr>
      <t>up,Proj,Cu-CC,y</t>
    </r>
    <r>
      <rPr>
        <sz val="9"/>
        <color theme="1"/>
        <rFont val="Calibri"/>
        <family val="2"/>
        <scheme val="minor"/>
      </rPr>
      <t xml:space="preserve"> </t>
    </r>
  </si>
  <si>
    <r>
      <t>Comp</t>
    </r>
    <r>
      <rPr>
        <vertAlign val="subscript"/>
        <sz val="9"/>
        <color theme="1"/>
        <rFont val="Calibri"/>
        <family val="2"/>
        <scheme val="minor"/>
      </rPr>
      <t>up,Ref,j,y</t>
    </r>
    <r>
      <rPr>
        <sz val="9"/>
        <color theme="1"/>
        <rFont val="Calibri"/>
        <family val="2"/>
        <scheme val="minor"/>
      </rPr>
      <t xml:space="preserve"> </t>
    </r>
  </si>
  <si>
    <r>
      <t>Comp</t>
    </r>
    <r>
      <rPr>
        <vertAlign val="subscript"/>
        <sz val="9"/>
        <color theme="1"/>
        <rFont val="Calibri"/>
        <family val="2"/>
        <scheme val="minor"/>
      </rPr>
      <t>up,Ref,pCAM,y</t>
    </r>
    <r>
      <rPr>
        <sz val="9"/>
        <color theme="1"/>
        <rFont val="Calibri"/>
        <family val="2"/>
        <scheme val="minor"/>
      </rPr>
      <t xml:space="preserve"> </t>
    </r>
  </si>
  <si>
    <r>
      <t>Comp</t>
    </r>
    <r>
      <rPr>
        <vertAlign val="subscript"/>
        <sz val="9"/>
        <color theme="1"/>
        <rFont val="Calibri"/>
        <family val="2"/>
        <scheme val="minor"/>
      </rPr>
      <t>up,Ref,CAM,y</t>
    </r>
    <r>
      <rPr>
        <sz val="9"/>
        <color theme="1"/>
        <rFont val="Calibri"/>
        <family val="2"/>
        <scheme val="minor"/>
      </rPr>
      <t xml:space="preserve"> </t>
    </r>
  </si>
  <si>
    <r>
      <t>Comp</t>
    </r>
    <r>
      <rPr>
        <vertAlign val="subscript"/>
        <sz val="9"/>
        <color theme="1"/>
        <rFont val="Calibri"/>
        <family val="2"/>
        <scheme val="minor"/>
      </rPr>
      <t>up,Ref,AAM,y</t>
    </r>
    <r>
      <rPr>
        <sz val="9"/>
        <color theme="1"/>
        <rFont val="Calibri"/>
        <family val="2"/>
        <scheme val="minor"/>
      </rPr>
      <t xml:space="preserve"> </t>
    </r>
  </si>
  <si>
    <r>
      <t>Comp</t>
    </r>
    <r>
      <rPr>
        <vertAlign val="subscript"/>
        <sz val="9"/>
        <color theme="1"/>
        <rFont val="Calibri"/>
        <family val="2"/>
        <scheme val="minor"/>
      </rPr>
      <t>up,Ref,electrolyte,y</t>
    </r>
    <r>
      <rPr>
        <sz val="9"/>
        <color theme="1"/>
        <rFont val="Calibri"/>
        <family val="2"/>
        <scheme val="minor"/>
      </rPr>
      <t xml:space="preserve"> </t>
    </r>
  </si>
  <si>
    <r>
      <t>Comp</t>
    </r>
    <r>
      <rPr>
        <vertAlign val="subscript"/>
        <sz val="9"/>
        <color theme="1"/>
        <rFont val="Calibri"/>
        <family val="2"/>
        <scheme val="minor"/>
      </rPr>
      <t>up,Ref,separator,y</t>
    </r>
    <r>
      <rPr>
        <sz val="9"/>
        <color theme="1"/>
        <rFont val="Calibri"/>
        <family val="2"/>
        <scheme val="minor"/>
      </rPr>
      <t xml:space="preserve"> </t>
    </r>
  </si>
  <si>
    <r>
      <t>Comp</t>
    </r>
    <r>
      <rPr>
        <vertAlign val="subscript"/>
        <sz val="9"/>
        <color theme="1"/>
        <rFont val="Calibri"/>
        <family val="2"/>
        <scheme val="minor"/>
      </rPr>
      <t>up,Ref,Al-CC,y</t>
    </r>
    <r>
      <rPr>
        <sz val="9"/>
        <color theme="1"/>
        <rFont val="Calibri"/>
        <family val="2"/>
        <scheme val="minor"/>
      </rPr>
      <t xml:space="preserve"> </t>
    </r>
  </si>
  <si>
    <r>
      <t>Comp</t>
    </r>
    <r>
      <rPr>
        <vertAlign val="subscript"/>
        <sz val="9"/>
        <color theme="1"/>
        <rFont val="Calibri"/>
        <family val="2"/>
        <scheme val="minor"/>
      </rPr>
      <t>up,Ref,Cu-CC,y</t>
    </r>
    <r>
      <rPr>
        <sz val="9"/>
        <color theme="1"/>
        <rFont val="Calibri"/>
        <family val="2"/>
        <scheme val="minor"/>
      </rPr>
      <t xml:space="preserve"> </t>
    </r>
  </si>
  <si>
    <r>
      <t>E</t>
    </r>
    <r>
      <rPr>
        <vertAlign val="subscript"/>
        <sz val="9"/>
        <color theme="1"/>
        <rFont val="Calibri"/>
        <family val="2"/>
        <scheme val="minor"/>
      </rPr>
      <t>Ref-non-energy,y</t>
    </r>
  </si>
  <si>
    <t>Manufacturing: Project manufacturing carbon footprint per year</t>
  </si>
  <si>
    <t>Manufacturing: Reference production</t>
  </si>
  <si>
    <t>Manufacturing: Project production</t>
  </si>
  <si>
    <t>Manufacturing: Project energy: Energy carriers and non-energy emissions</t>
  </si>
  <si>
    <t>EV use case: Battery pack assembly</t>
  </si>
  <si>
    <t>EV use case: Use phase emissions</t>
  </si>
  <si>
    <t>EV use case: End of life recycling emissions</t>
  </si>
  <si>
    <t>Raw material emission factors</t>
  </si>
  <si>
    <t>Manufacturing energy consumption and emission factors</t>
  </si>
  <si>
    <t>Manufacturing reference bill of materials</t>
  </si>
  <si>
    <r>
      <t>EF</t>
    </r>
    <r>
      <rPr>
        <vertAlign val="subscript"/>
        <sz val="9"/>
        <color theme="1"/>
        <rFont val="Calibri"/>
        <family val="2"/>
        <scheme val="minor"/>
      </rPr>
      <t>Cu-CC</t>
    </r>
  </si>
  <si>
    <r>
      <t>EF</t>
    </r>
    <r>
      <rPr>
        <vertAlign val="subscript"/>
        <sz val="9"/>
        <color theme="1"/>
        <rFont val="Calibri"/>
        <family val="2"/>
        <scheme val="minor"/>
      </rPr>
      <t>Al-CC</t>
    </r>
  </si>
  <si>
    <r>
      <t>EF</t>
    </r>
    <r>
      <rPr>
        <vertAlign val="subscript"/>
        <sz val="9"/>
        <color theme="1"/>
        <rFont val="Calibri"/>
        <family val="2"/>
        <scheme val="minor"/>
      </rPr>
      <t>separator</t>
    </r>
  </si>
  <si>
    <r>
      <t>EF</t>
    </r>
    <r>
      <rPr>
        <vertAlign val="subscript"/>
        <sz val="9"/>
        <color theme="1"/>
        <rFont val="Calibri"/>
        <family val="2"/>
        <scheme val="minor"/>
      </rPr>
      <t>electrolyte</t>
    </r>
  </si>
  <si>
    <r>
      <t>Ref</t>
    </r>
    <r>
      <rPr>
        <vertAlign val="subscript"/>
        <sz val="9"/>
        <color theme="1"/>
        <rFont val="Calibri"/>
        <family val="2"/>
        <scheme val="minor"/>
      </rPr>
      <t>up,Al-CC</t>
    </r>
  </si>
  <si>
    <r>
      <t>Ref</t>
    </r>
    <r>
      <rPr>
        <vertAlign val="subscript"/>
        <sz val="9"/>
        <color theme="1"/>
        <rFont val="Calibri"/>
        <family val="2"/>
        <scheme val="minor"/>
      </rPr>
      <t>up,Cu-CC</t>
    </r>
  </si>
  <si>
    <r>
      <t>EF</t>
    </r>
    <r>
      <rPr>
        <vertAlign val="subscript"/>
        <sz val="9"/>
        <color theme="1"/>
        <rFont val="Calibri"/>
        <family val="2"/>
        <scheme val="minor"/>
      </rPr>
      <t>cell-non-energy</t>
    </r>
  </si>
  <si>
    <r>
      <t>EF</t>
    </r>
    <r>
      <rPr>
        <vertAlign val="subscript"/>
        <sz val="9"/>
        <color theme="1"/>
        <rFont val="Calibri"/>
        <family val="2"/>
        <scheme val="minor"/>
      </rPr>
      <t>pCAM-non-energy</t>
    </r>
  </si>
  <si>
    <r>
      <t>EF</t>
    </r>
    <r>
      <rPr>
        <vertAlign val="subscript"/>
        <sz val="9"/>
        <color theme="1"/>
        <rFont val="Calibri"/>
        <family val="2"/>
        <scheme val="minor"/>
      </rPr>
      <t>CAM-non-energy</t>
    </r>
  </si>
  <si>
    <r>
      <t>EF</t>
    </r>
    <r>
      <rPr>
        <vertAlign val="subscript"/>
        <sz val="9"/>
        <color theme="1"/>
        <rFont val="Calibri"/>
        <family val="2"/>
        <scheme val="minor"/>
      </rPr>
      <t>AAM-non-energy</t>
    </r>
  </si>
  <si>
    <r>
      <t>E</t>
    </r>
    <r>
      <rPr>
        <vertAlign val="subscript"/>
        <sz val="9"/>
        <color theme="1"/>
        <rFont val="Calibri"/>
        <family val="2"/>
        <scheme val="minor"/>
      </rPr>
      <t>cell</t>
    </r>
  </si>
  <si>
    <r>
      <t>E</t>
    </r>
    <r>
      <rPr>
        <vertAlign val="subscript"/>
        <sz val="9"/>
        <color theme="1"/>
        <rFont val="Calibri"/>
        <family val="2"/>
        <scheme val="minor"/>
      </rPr>
      <t>pCAM</t>
    </r>
  </si>
  <si>
    <r>
      <t>E</t>
    </r>
    <r>
      <rPr>
        <vertAlign val="subscript"/>
        <sz val="9"/>
        <color theme="1"/>
        <rFont val="Calibri"/>
        <family val="2"/>
        <scheme val="minor"/>
      </rPr>
      <t>CAM</t>
    </r>
  </si>
  <si>
    <r>
      <t>E</t>
    </r>
    <r>
      <rPr>
        <vertAlign val="subscript"/>
        <sz val="9"/>
        <color theme="1"/>
        <rFont val="Calibri"/>
        <family val="2"/>
        <scheme val="minor"/>
      </rPr>
      <t>AAM</t>
    </r>
  </si>
  <si>
    <r>
      <t>S</t>
    </r>
    <r>
      <rPr>
        <vertAlign val="subscript"/>
        <sz val="9"/>
        <color theme="1"/>
        <rFont val="Calibri"/>
        <family val="2"/>
        <scheme val="minor"/>
      </rPr>
      <t>pCAM-CAM</t>
    </r>
  </si>
  <si>
    <t>Average GHG emissions associated with the production of 1 kWh of battery storage by the project</t>
  </si>
  <si>
    <t>Battery methodology factors</t>
  </si>
  <si>
    <t>Kallitsis et al. 2024 https://doi.org/10.1016/j.jclepro.2024.141725</t>
  </si>
  <si>
    <t>Manufacturing: Raw materials: Project bill of materials</t>
  </si>
  <si>
    <t>Manufacturing: Raw materials: Project recycled content</t>
  </si>
  <si>
    <t>Manufacturing: Raw materials: Reference bill of materials</t>
  </si>
  <si>
    <t>Manufacturing: Raw materials: Reference recycled content</t>
  </si>
  <si>
    <t>Manufacturing: Upstream components: Production share within project scope</t>
  </si>
  <si>
    <t>Manufacturing: Upstream components: Project bill of materials</t>
  </si>
  <si>
    <t>Manufacturing: Upstream components: Reference bill of materials</t>
  </si>
  <si>
    <t>Manufacturing: Upstream components: Emission factors of components not produced as part of the project</t>
  </si>
  <si>
    <t>Manufacturing: Upstream components: Weight and emissions of components not produced as part of the project</t>
  </si>
  <si>
    <t>Manufacturing: Upstream components: Reference absolute material use and emissions</t>
  </si>
  <si>
    <t>Share of heat</t>
  </si>
  <si>
    <t>Share of decarbonized gas</t>
  </si>
  <si>
    <t>Electricity supply</t>
  </si>
  <si>
    <t>Heat supply</t>
  </si>
  <si>
    <t>Decarbonized gas supply</t>
  </si>
  <si>
    <t>Green hydrogen supply</t>
  </si>
  <si>
    <t>Share of green hydrogen</t>
  </si>
  <si>
    <r>
      <t>Share of green hydrogen sourced with a</t>
    </r>
    <r>
      <rPr>
        <b/>
        <sz val="10"/>
        <color rgb="FF000000"/>
        <rFont val="Arial"/>
        <family val="2"/>
      </rPr>
      <t xml:space="preserve"> purchase agreement</t>
    </r>
  </si>
  <si>
    <r>
      <t>Share of heat sourced with a</t>
    </r>
    <r>
      <rPr>
        <b/>
        <sz val="10"/>
        <color rgb="FF000000"/>
        <rFont val="Arial"/>
        <family val="2"/>
      </rPr>
      <t xml:space="preserve"> purchase agreement</t>
    </r>
  </si>
  <si>
    <r>
      <t>Share of decarbonized gas sourced with a</t>
    </r>
    <r>
      <rPr>
        <b/>
        <sz val="10"/>
        <color rgb="FF000000"/>
        <rFont val="Arial"/>
        <family val="2"/>
      </rPr>
      <t xml:space="preserve"> purchase agreement</t>
    </r>
  </si>
  <si>
    <t>Emission factor for decarbonized gas sourced with a purchase agreement. Default is assumed if nothing is specified.</t>
  </si>
  <si>
    <t>Emission factor for hydrogen sourced with a purchase agreement. Default is assumed if nothing is specified.</t>
  </si>
  <si>
    <t>Emission factor for heat sourced with a purchase agreement. Default is assumed if nothing is specified.</t>
  </si>
  <si>
    <t>t CO2e / TJ</t>
  </si>
  <si>
    <t>Number</t>
  </si>
  <si>
    <r>
      <t>s</t>
    </r>
    <r>
      <rPr>
        <vertAlign val="subscript"/>
        <sz val="9"/>
        <color theme="1"/>
        <rFont val="Calibri"/>
        <family val="2"/>
        <scheme val="minor"/>
      </rPr>
      <t>PA,i,y</t>
    </r>
  </si>
  <si>
    <r>
      <t>s</t>
    </r>
    <r>
      <rPr>
        <vertAlign val="subscript"/>
        <sz val="9"/>
        <color theme="1"/>
        <rFont val="Calibri"/>
        <family val="2"/>
        <scheme val="minor"/>
      </rPr>
      <t>PA,elect,y</t>
    </r>
  </si>
  <si>
    <r>
      <t>s</t>
    </r>
    <r>
      <rPr>
        <vertAlign val="subscript"/>
        <sz val="9"/>
        <color theme="1"/>
        <rFont val="Calibri"/>
        <family val="2"/>
        <scheme val="minor"/>
      </rPr>
      <t>PA,heat,y</t>
    </r>
  </si>
  <si>
    <r>
      <t>s</t>
    </r>
    <r>
      <rPr>
        <vertAlign val="subscript"/>
        <sz val="9"/>
        <color theme="1"/>
        <rFont val="Calibri"/>
        <family val="2"/>
        <scheme val="minor"/>
      </rPr>
      <t>PA,h2,y</t>
    </r>
  </si>
  <si>
    <r>
      <t>s</t>
    </r>
    <r>
      <rPr>
        <vertAlign val="subscript"/>
        <sz val="9"/>
        <color theme="1"/>
        <rFont val="Calibri"/>
        <family val="2"/>
        <scheme val="minor"/>
      </rPr>
      <t>PA,dc-gas,y</t>
    </r>
  </si>
  <si>
    <r>
      <t>E</t>
    </r>
    <r>
      <rPr>
        <vertAlign val="subscript"/>
        <sz val="9"/>
        <color theme="1"/>
        <rFont val="Calibri"/>
        <family val="2"/>
        <scheme val="minor"/>
      </rPr>
      <t>Proj,i,y</t>
    </r>
  </si>
  <si>
    <r>
      <t>E</t>
    </r>
    <r>
      <rPr>
        <vertAlign val="subscript"/>
        <sz val="9"/>
        <color theme="1"/>
        <rFont val="Calibri"/>
        <family val="2"/>
        <scheme val="minor"/>
      </rPr>
      <t>Proj,elect,y</t>
    </r>
  </si>
  <si>
    <r>
      <t>E</t>
    </r>
    <r>
      <rPr>
        <vertAlign val="subscript"/>
        <sz val="9"/>
        <color theme="1"/>
        <rFont val="Calibri"/>
        <family val="2"/>
        <scheme val="minor"/>
      </rPr>
      <t>Proj,heat,y</t>
    </r>
  </si>
  <si>
    <r>
      <t>E</t>
    </r>
    <r>
      <rPr>
        <vertAlign val="subscript"/>
        <sz val="9"/>
        <color theme="1"/>
        <rFont val="Calibri"/>
        <family val="2"/>
        <scheme val="minor"/>
      </rPr>
      <t>Proj,NG,y</t>
    </r>
  </si>
  <si>
    <r>
      <t>E</t>
    </r>
    <r>
      <rPr>
        <vertAlign val="subscript"/>
        <sz val="9"/>
        <color theme="1"/>
        <rFont val="Calibri"/>
        <family val="2"/>
        <scheme val="minor"/>
      </rPr>
      <t>Proj,oil,y</t>
    </r>
  </si>
  <si>
    <r>
      <t>E</t>
    </r>
    <r>
      <rPr>
        <vertAlign val="subscript"/>
        <sz val="9"/>
        <color theme="1"/>
        <rFont val="Calibri"/>
        <family val="2"/>
        <scheme val="minor"/>
      </rPr>
      <t>Proj,diesel,y</t>
    </r>
  </si>
  <si>
    <r>
      <t>E</t>
    </r>
    <r>
      <rPr>
        <vertAlign val="subscript"/>
        <sz val="9"/>
        <color theme="1"/>
        <rFont val="Calibri"/>
        <family val="2"/>
        <scheme val="minor"/>
      </rPr>
      <t>Proj,gasoline,y</t>
    </r>
  </si>
  <si>
    <r>
      <t>E</t>
    </r>
    <r>
      <rPr>
        <vertAlign val="subscript"/>
        <sz val="9"/>
        <color theme="1"/>
        <rFont val="Calibri"/>
        <family val="2"/>
        <scheme val="minor"/>
      </rPr>
      <t>Proj,other,y</t>
    </r>
  </si>
  <si>
    <r>
      <t>EF</t>
    </r>
    <r>
      <rPr>
        <vertAlign val="subscript"/>
        <sz val="9"/>
        <color theme="1"/>
        <rFont val="Calibri"/>
        <family val="2"/>
        <scheme val="minor"/>
      </rPr>
      <t>PA,heat,y</t>
    </r>
  </si>
  <si>
    <r>
      <t>EF</t>
    </r>
    <r>
      <rPr>
        <vertAlign val="subscript"/>
        <sz val="9"/>
        <color theme="1"/>
        <rFont val="Calibri"/>
        <family val="2"/>
        <scheme val="minor"/>
      </rPr>
      <t>PA,H2,y</t>
    </r>
  </si>
  <si>
    <r>
      <t>E</t>
    </r>
    <r>
      <rPr>
        <vertAlign val="subscript"/>
        <sz val="9"/>
        <color theme="1"/>
        <rFont val="Calibri"/>
        <family val="2"/>
        <scheme val="minor"/>
      </rPr>
      <t>Proj,H2,y</t>
    </r>
  </si>
  <si>
    <r>
      <t>EF</t>
    </r>
    <r>
      <rPr>
        <vertAlign val="subscript"/>
        <sz val="9"/>
        <color theme="1"/>
        <rFont val="Calibri"/>
        <family val="2"/>
        <scheme val="minor"/>
      </rPr>
      <t>PA,dc-gas,y</t>
    </r>
  </si>
  <si>
    <r>
      <t>Proj</t>
    </r>
    <r>
      <rPr>
        <vertAlign val="subscript"/>
        <sz val="9"/>
        <color theme="1"/>
        <rFont val="Calibri"/>
        <family val="2"/>
        <scheme val="minor"/>
      </rPr>
      <t>up,i,y</t>
    </r>
  </si>
  <si>
    <r>
      <t>Proj</t>
    </r>
    <r>
      <rPr>
        <vertAlign val="subscript"/>
        <sz val="9"/>
        <color theme="1"/>
        <rFont val="Calibri"/>
        <family val="2"/>
        <scheme val="minor"/>
      </rPr>
      <t>up,pCAM,y</t>
    </r>
  </si>
  <si>
    <r>
      <t>Proj</t>
    </r>
    <r>
      <rPr>
        <vertAlign val="subscript"/>
        <sz val="9"/>
        <color theme="1"/>
        <rFont val="Calibri"/>
        <family val="2"/>
        <scheme val="minor"/>
      </rPr>
      <t>up,Al-CC,y</t>
    </r>
  </si>
  <si>
    <r>
      <t>Proj</t>
    </r>
    <r>
      <rPr>
        <vertAlign val="subscript"/>
        <sz val="9"/>
        <color theme="1"/>
        <rFont val="Calibri"/>
        <family val="2"/>
        <scheme val="minor"/>
      </rPr>
      <t>up,Cu-CC,y</t>
    </r>
  </si>
  <si>
    <r>
      <t>Proj</t>
    </r>
    <r>
      <rPr>
        <vertAlign val="subscript"/>
        <sz val="9"/>
        <color theme="1"/>
        <rFont val="Calibri"/>
        <family val="2"/>
        <scheme val="minor"/>
      </rPr>
      <t>up,separator,y</t>
    </r>
  </si>
  <si>
    <r>
      <t>Proj</t>
    </r>
    <r>
      <rPr>
        <vertAlign val="subscript"/>
        <sz val="9"/>
        <color theme="1"/>
        <rFont val="Calibri"/>
        <family val="2"/>
        <scheme val="minor"/>
      </rPr>
      <t>up,electrolyte,y</t>
    </r>
  </si>
  <si>
    <t>Electrolyte used per battery storage produced</t>
  </si>
  <si>
    <r>
      <t>Proj</t>
    </r>
    <r>
      <rPr>
        <vertAlign val="subscript"/>
        <sz val="9"/>
        <color theme="1"/>
        <rFont val="Calibri"/>
        <family val="2"/>
        <scheme val="minor"/>
      </rPr>
      <t>up,AAM,y</t>
    </r>
  </si>
  <si>
    <r>
      <t>Proj</t>
    </r>
    <r>
      <rPr>
        <vertAlign val="subscript"/>
        <sz val="9"/>
        <color theme="1"/>
        <rFont val="Calibri"/>
        <family val="2"/>
        <scheme val="minor"/>
      </rPr>
      <t>up,CAM,y</t>
    </r>
  </si>
  <si>
    <r>
      <t>Ref</t>
    </r>
    <r>
      <rPr>
        <vertAlign val="subscript"/>
        <sz val="9"/>
        <color theme="1"/>
        <rFont val="Calibri"/>
        <family val="2"/>
        <scheme val="minor"/>
      </rPr>
      <t xml:space="preserve">up,j,y </t>
    </r>
  </si>
  <si>
    <r>
      <t>Ref</t>
    </r>
    <r>
      <rPr>
        <vertAlign val="subscript"/>
        <sz val="9"/>
        <color theme="1"/>
        <rFont val="Calibri"/>
        <family val="2"/>
        <scheme val="minor"/>
      </rPr>
      <t>up,Al-CC,y</t>
    </r>
  </si>
  <si>
    <r>
      <t>Ref</t>
    </r>
    <r>
      <rPr>
        <vertAlign val="subscript"/>
        <sz val="9"/>
        <color theme="1"/>
        <rFont val="Calibri"/>
        <family val="2"/>
        <scheme val="minor"/>
      </rPr>
      <t>up,Cu-CC,y</t>
    </r>
  </si>
  <si>
    <r>
      <t>E</t>
    </r>
    <r>
      <rPr>
        <vertAlign val="subscript"/>
        <sz val="9"/>
        <color theme="1"/>
        <rFont val="Calibri"/>
        <family val="2"/>
        <scheme val="minor"/>
      </rPr>
      <t>Ref,i,y</t>
    </r>
  </si>
  <si>
    <r>
      <t>E</t>
    </r>
    <r>
      <rPr>
        <vertAlign val="subscript"/>
        <sz val="9"/>
        <color theme="1"/>
        <rFont val="Calibri"/>
        <family val="2"/>
        <scheme val="minor"/>
      </rPr>
      <t>Ref,elec,y</t>
    </r>
  </si>
  <si>
    <r>
      <t>E</t>
    </r>
    <r>
      <rPr>
        <vertAlign val="subscript"/>
        <sz val="9"/>
        <color theme="1"/>
        <rFont val="Calibri"/>
        <family val="2"/>
        <scheme val="minor"/>
      </rPr>
      <t>Ref,H2,y</t>
    </r>
  </si>
  <si>
    <r>
      <t>E</t>
    </r>
    <r>
      <rPr>
        <vertAlign val="subscript"/>
        <sz val="9"/>
        <color theme="1"/>
        <rFont val="Calibri"/>
        <family val="2"/>
        <scheme val="minor"/>
      </rPr>
      <t>Ref,heat,y</t>
    </r>
  </si>
  <si>
    <r>
      <t>E</t>
    </r>
    <r>
      <rPr>
        <vertAlign val="subscript"/>
        <sz val="9"/>
        <color theme="1"/>
        <rFont val="Calibri"/>
        <family val="2"/>
        <scheme val="minor"/>
      </rPr>
      <t>Ref,NG,y</t>
    </r>
  </si>
  <si>
    <r>
      <t>E</t>
    </r>
    <r>
      <rPr>
        <vertAlign val="subscript"/>
        <sz val="9"/>
        <color theme="1"/>
        <rFont val="Calibri"/>
        <family val="2"/>
        <scheme val="minor"/>
      </rPr>
      <t>Ref,oil,y</t>
    </r>
  </si>
  <si>
    <r>
      <t>E</t>
    </r>
    <r>
      <rPr>
        <vertAlign val="subscript"/>
        <sz val="9"/>
        <color theme="1"/>
        <rFont val="Calibri"/>
        <family val="2"/>
        <scheme val="minor"/>
      </rPr>
      <t>Ref,diesel,y</t>
    </r>
  </si>
  <si>
    <r>
      <t>E</t>
    </r>
    <r>
      <rPr>
        <vertAlign val="subscript"/>
        <sz val="9"/>
        <color theme="1"/>
        <rFont val="Calibri"/>
        <family val="2"/>
        <scheme val="minor"/>
      </rPr>
      <t>Ref,gasoline,y</t>
    </r>
  </si>
  <si>
    <r>
      <rPr>
        <sz val="11"/>
        <color rgb="FF000000"/>
        <rFont val="Arial"/>
        <family val="2"/>
      </rPr>
      <t>Ref</t>
    </r>
    <r>
      <rPr>
        <vertAlign val="subscript"/>
        <sz val="11"/>
        <color rgb="FF000000"/>
        <rFont val="Arial"/>
        <family val="2"/>
      </rPr>
      <t>manuf-year,y</t>
    </r>
  </si>
  <si>
    <r>
      <t>Ref</t>
    </r>
    <r>
      <rPr>
        <vertAlign val="subscript"/>
        <sz val="9"/>
        <color theme="1"/>
        <rFont val="Calibri"/>
        <family val="2"/>
        <scheme val="minor"/>
      </rPr>
      <t>up,pCAM,y</t>
    </r>
  </si>
  <si>
    <r>
      <t>Ref</t>
    </r>
    <r>
      <rPr>
        <vertAlign val="subscript"/>
        <sz val="9"/>
        <color theme="1"/>
        <rFont val="Calibri"/>
        <family val="2"/>
        <scheme val="minor"/>
      </rPr>
      <t>up,CAM,y</t>
    </r>
  </si>
  <si>
    <r>
      <t>Ref</t>
    </r>
    <r>
      <rPr>
        <vertAlign val="subscript"/>
        <sz val="9"/>
        <color theme="1"/>
        <rFont val="Calibri"/>
        <family val="2"/>
        <scheme val="minor"/>
      </rPr>
      <t>up,AAM,y</t>
    </r>
  </si>
  <si>
    <r>
      <t>Ref</t>
    </r>
    <r>
      <rPr>
        <vertAlign val="subscript"/>
        <sz val="9"/>
        <color theme="1"/>
        <rFont val="Calibri"/>
        <family val="2"/>
        <scheme val="minor"/>
      </rPr>
      <t>up,Electrolyte,y</t>
    </r>
  </si>
  <si>
    <r>
      <t>Ref</t>
    </r>
    <r>
      <rPr>
        <vertAlign val="subscript"/>
        <sz val="9"/>
        <color theme="1"/>
        <rFont val="Calibri"/>
        <family val="2"/>
        <scheme val="minor"/>
      </rPr>
      <t>up,Separator,y</t>
    </r>
  </si>
  <si>
    <r>
      <t>kg CO</t>
    </r>
    <r>
      <rPr>
        <vertAlign val="subscript"/>
        <sz val="10"/>
        <rFont val="Arial"/>
        <family val="2"/>
      </rPr>
      <t>2</t>
    </r>
    <r>
      <rPr>
        <sz val="10"/>
        <rFont val="Arial"/>
        <family val="2"/>
      </rPr>
      <t>e / kWh</t>
    </r>
  </si>
  <si>
    <r>
      <t>Estimated values for the reference and project GHG emissions and net absolute GHG emissions avoided during the first 10 year of operation, in t CO</t>
    </r>
    <r>
      <rPr>
        <i/>
        <vertAlign val="subscript"/>
        <sz val="11"/>
        <color theme="1"/>
        <rFont val="Arial"/>
        <family val="2"/>
      </rPr>
      <t>2</t>
    </r>
    <r>
      <rPr>
        <i/>
        <sz val="11"/>
        <color theme="1"/>
        <rFont val="Arial"/>
        <family val="2"/>
      </rPr>
      <t>e.</t>
    </r>
  </si>
  <si>
    <t>Reference operational data</t>
  </si>
  <si>
    <r>
      <rPr>
        <sz val="11"/>
        <color rgb="FF000000"/>
        <rFont val="Arial"/>
        <family val="2"/>
      </rPr>
      <t>Proj</t>
    </r>
    <r>
      <rPr>
        <vertAlign val="subscript"/>
        <sz val="11"/>
        <color rgb="FF000000"/>
        <rFont val="Arial"/>
        <family val="2"/>
      </rPr>
      <t>use,y</t>
    </r>
  </si>
  <si>
    <r>
      <rPr>
        <sz val="11"/>
        <color rgb="FF000000"/>
        <rFont val="Arial"/>
        <family val="2"/>
      </rPr>
      <t>Proj</t>
    </r>
    <r>
      <rPr>
        <vertAlign val="subscript"/>
        <sz val="11"/>
        <color rgb="FF000000"/>
        <rFont val="Arial"/>
        <family val="2"/>
      </rPr>
      <t>pack,y</t>
    </r>
  </si>
  <si>
    <r>
      <rPr>
        <sz val="11"/>
        <color rgb="FF000000"/>
        <rFont val="Arial"/>
        <family val="2"/>
      </rPr>
      <t>Proj</t>
    </r>
    <r>
      <rPr>
        <vertAlign val="subscript"/>
        <sz val="11"/>
        <color rgb="FF000000"/>
        <rFont val="Arial"/>
        <family val="2"/>
      </rPr>
      <t>EoL,y</t>
    </r>
  </si>
  <si>
    <t>End of life treatment of storage capacity</t>
  </si>
  <si>
    <t>EV use phase energy demand</t>
  </si>
  <si>
    <t>Number of EV battery packs in use phase</t>
  </si>
  <si>
    <t>Manufacturing: Project energy: Zero-rated RE share and other energy emission factors</t>
  </si>
  <si>
    <t>[Default or specify]</t>
  </si>
  <si>
    <t>kg CO2e / kg</t>
  </si>
  <si>
    <t>kg / kWh</t>
  </si>
  <si>
    <t>Emissions end of life treatment of battery packs</t>
  </si>
  <si>
    <r>
      <t>E</t>
    </r>
    <r>
      <rPr>
        <vertAlign val="subscript"/>
        <sz val="9"/>
        <color theme="1"/>
        <rFont val="Calibri"/>
        <family val="2"/>
        <scheme val="minor"/>
      </rPr>
      <t>Proj,non-energy,y</t>
    </r>
  </si>
  <si>
    <r>
      <t>∆GHG</t>
    </r>
    <r>
      <rPr>
        <vertAlign val="subscript"/>
        <sz val="10"/>
        <color rgb="FF000000"/>
        <rFont val="Arial"/>
        <family val="2"/>
      </rPr>
      <t>manuf</t>
    </r>
  </si>
  <si>
    <r>
      <t>(Ref</t>
    </r>
    <r>
      <rPr>
        <vertAlign val="subscript"/>
        <sz val="10"/>
        <color rgb="FF000000"/>
        <rFont val="Arial"/>
        <family val="2"/>
      </rPr>
      <t>manuf-abs</t>
    </r>
    <r>
      <rPr>
        <sz val="10"/>
        <color rgb="FF000000"/>
        <rFont val="Arial"/>
        <family val="2"/>
      </rPr>
      <t xml:space="preserve"> - Proj</t>
    </r>
    <r>
      <rPr>
        <vertAlign val="subscript"/>
        <sz val="10"/>
        <color rgb="FF000000"/>
        <rFont val="Arial"/>
        <family val="2"/>
      </rPr>
      <t>manuf-abs</t>
    </r>
    <r>
      <rPr>
        <sz val="10"/>
        <color rgb="FF000000"/>
        <rFont val="Arial"/>
        <family val="2"/>
      </rPr>
      <t>)</t>
    </r>
  </si>
  <si>
    <t>Absolute GHG avoidance</t>
  </si>
  <si>
    <t>Absolute GHG Emission Avoidance</t>
  </si>
  <si>
    <t>Project scenario emissions (Manufacturing carbon footprint and EV use case)</t>
  </si>
  <si>
    <r>
      <t>Net absolute GHG emissions avoided due to operation of the project during the first 10 years of operation, in tCO</t>
    </r>
    <r>
      <rPr>
        <vertAlign val="subscript"/>
        <sz val="10"/>
        <color theme="1"/>
        <rFont val="Arial"/>
        <family val="2"/>
      </rPr>
      <t>2</t>
    </r>
    <r>
      <rPr>
        <sz val="10"/>
        <color theme="1"/>
        <rFont val="Arial"/>
        <family val="2"/>
      </rPr>
      <t xml:space="preserve">e. </t>
    </r>
  </si>
  <si>
    <t>Absolute GHG emissions (incl. manufacturing and EV use case)</t>
  </si>
  <si>
    <t>Absolute reference scenario emissions per year</t>
  </si>
  <si>
    <t>Absolute project GHG emissions per year (including manufacturing and EV use case)</t>
  </si>
  <si>
    <t>Cut-off approach</t>
  </si>
  <si>
    <t>Year</t>
  </si>
  <si>
    <t>Other GHG indicators related to the project</t>
  </si>
  <si>
    <t>Comment / Instruction</t>
  </si>
  <si>
    <t>Calculator version</t>
  </si>
  <si>
    <t>Call</t>
  </si>
  <si>
    <t>Check that you are using the correct version of the calculator for the call to which you are applying.</t>
  </si>
  <si>
    <t>Overview BATT</t>
  </si>
  <si>
    <t>Presents a summary of the absolute and relative greenhouse gas emissions avoidance, as well as relative avoidance during production and general project information</t>
  </si>
  <si>
    <t>Presents a compilation of the absolute and relative greenhouse gas emissions avoidance during production and lifetime on a yearly basis.</t>
  </si>
  <si>
    <t>Reference emissions BATT</t>
  </si>
  <si>
    <t>Project emissions BATT</t>
  </si>
  <si>
    <t>Conversion factors BATT</t>
  </si>
  <si>
    <t>Battery cell specific carbon footprint in the project scenario</t>
  </si>
  <si>
    <t>Reference emissions calculations</t>
  </si>
  <si>
    <t>Project emissions calculations</t>
  </si>
  <si>
    <t>EU Reference Scenario 2020 - European Commission</t>
  </si>
  <si>
    <t>01.11.2024</t>
  </si>
  <si>
    <t>INNOVFUND-BATT</t>
  </si>
  <si>
    <r>
      <t>Ref</t>
    </r>
    <r>
      <rPr>
        <vertAlign val="subscript"/>
        <sz val="11"/>
        <color rgb="FF000000"/>
        <rFont val="Arial"/>
        <family val="2"/>
      </rPr>
      <t>year</t>
    </r>
  </si>
  <si>
    <r>
      <t>Proj</t>
    </r>
    <r>
      <rPr>
        <vertAlign val="subscript"/>
        <sz val="11"/>
        <color rgb="FF000000"/>
        <rFont val="Arial"/>
        <family val="2"/>
      </rPr>
      <t>year</t>
    </r>
  </si>
  <si>
    <r>
      <t>∆GHG</t>
    </r>
    <r>
      <rPr>
        <vertAlign val="subscript"/>
        <sz val="11"/>
        <color rgb="FF000000"/>
        <rFont val="Arial"/>
        <family val="2"/>
      </rPr>
      <t>abs</t>
    </r>
  </si>
  <si>
    <r>
      <t>∆GHG</t>
    </r>
    <r>
      <rPr>
        <vertAlign val="subscript"/>
        <sz val="11"/>
        <color rgb="FF000000"/>
        <rFont val="Arial"/>
        <family val="2"/>
      </rPr>
      <t>rel</t>
    </r>
  </si>
  <si>
    <r>
      <t>Ref</t>
    </r>
    <r>
      <rPr>
        <vertAlign val="subscript"/>
        <sz val="11"/>
        <color rgb="FF000000"/>
        <rFont val="Arial"/>
        <family val="2"/>
      </rPr>
      <t>manuf-year</t>
    </r>
  </si>
  <si>
    <r>
      <t>Proj</t>
    </r>
    <r>
      <rPr>
        <vertAlign val="subscript"/>
        <sz val="11"/>
        <color rgb="FF000000"/>
        <rFont val="Arial"/>
        <family val="2"/>
      </rPr>
      <t>manuf-year</t>
    </r>
  </si>
  <si>
    <r>
      <t>∆GHG</t>
    </r>
    <r>
      <rPr>
        <vertAlign val="subscript"/>
        <sz val="11"/>
        <color rgb="FF000000"/>
        <rFont val="Arial"/>
        <family val="2"/>
      </rPr>
      <t>manuf-abs</t>
    </r>
  </si>
  <si>
    <r>
      <t>∆GHG</t>
    </r>
    <r>
      <rPr>
        <vertAlign val="subscript"/>
        <sz val="11"/>
        <color rgb="FF000000"/>
        <rFont val="Arial"/>
        <family val="2"/>
      </rPr>
      <t>manuf</t>
    </r>
  </si>
  <si>
    <t>Ensure consistency with other application documents.</t>
  </si>
  <si>
    <t>Minimum recycling rates from EU battery regulation.</t>
  </si>
  <si>
    <t>Context of the example and system boundaries</t>
  </si>
  <si>
    <t>e1.0</t>
  </si>
  <si>
    <t>Example version:</t>
  </si>
  <si>
    <t>Date:</t>
  </si>
  <si>
    <r>
      <t>Ref</t>
    </r>
    <r>
      <rPr>
        <vertAlign val="subscript"/>
        <sz val="10"/>
        <color theme="1"/>
        <rFont val="Arial"/>
        <family val="2"/>
      </rPr>
      <t>raw,F</t>
    </r>
  </si>
  <si>
    <t>2027: 4 GWh cell output; 2028 and following: 8 GWh cell output</t>
  </si>
  <si>
    <t>Natural gas consumption for the project. In this case, dry room infrastructure is operated using NG. The assumption is, that the dry room uses 120 MWh natural gas per year.</t>
  </si>
  <si>
    <t>The example project envisages building an LFP battery cell production with an integrated cathode active material production plant. 
The start of productions (SoP) will be in 2027 with a planned output of 4 GWh. The full capacity output of 8 GWh per year will be reached in 2028. The theoretical production capacity of the line is higher than 8 GWh per year, but the capacity specified in this calculation reflects the planned real output (functioning battery cells) of the production line.The plants' input demand for LFP-CAM will be supplied by the project's own CAM plant. Precursor materials and all other cell components will be sourced externally.
The projects dry room infrastructure will be partially powered by a natural gas (NG) heating device. The rest of the production as well as the CAM plant will be powered by electricity. Beginning in 2028, the project will be supplied by a provider of renewable electricity. The power purchase agreement provides for the supply of 50 GWh of net zero electricity per year up to and including 2029. From 2030, the power purchase agreement provides for the supply of 150 GWh of net zero electricity per year.
For the supply of the CAM plant, the project maintains relationships with a supplier (outside the project) that also relies on renewable energies in its production and manufactures the iron phosphate pCAM with an emission factor of 3.5 kg CO2e / kg. All other components are procured by the project on the world market from different manufacturers, which is why no customized emission factors are known and the default values are used.
The project uses recycled material contents in the active materials that meet the requirements of the EU battery regulation.</t>
  </si>
  <si>
    <t>The project manufactures CAM for the LFP line.</t>
  </si>
  <si>
    <t>Customized emission factor of 3.5 kg CO2e / kg from the pCAM supplier.</t>
  </si>
  <si>
    <t>Electricity consumption for the cell production line (2027: 80 MWh electricity; 2028 and following: 136 MWh electricity) as well as for the CAM plant (6 MWh of electricity per tonne of CAM).</t>
  </si>
  <si>
    <t>[Optional Reporting]</t>
  </si>
  <si>
    <t>Please verify that the horizontal sum per year and the vertical sum per contribution yield the same result as the grand total in the summary table</t>
  </si>
  <si>
    <t>Start of Operations</t>
  </si>
  <si>
    <t>Hypothetical project with a timely start to the construction (e.g. 2025) of the infrastructure. 50% of planned output reached in 2027, 100% of planned output reached in 2028.</t>
  </si>
  <si>
    <t>year</t>
  </si>
  <si>
    <t>Hypothetical project with a final machine capacity of 12,000 MWh per year. The production plan envisages an output of 8,000 MWh per year (cells with successful end of line test), taking into account maintenance and provisioning times as well as the expected scrap on the lines.</t>
  </si>
  <si>
    <t>Project electricity consumption year 2027</t>
  </si>
  <si>
    <t>Project electricity consumption year 2028 and following</t>
  </si>
  <si>
    <t>Project natural gas consumption year 2027 and following</t>
  </si>
  <si>
    <t>The electricity demand is composed of the consumption of the cell production and the CAM plant.
The energy efficiency of the cell production is lower overall in the first year. Due to the ramp-up, less output is expected compared to the following years (4 GWh vs. 8 GWh), but with identical energy costs for the clean and dry rooms and comparatively high energy costs for the production processes.
Electricity consumption for the cell production line (2027: 80 MWh electricity; 2028 and following: 136 MWh electricity) as well as for the CAM plant (6 MWh of electricity per tonne of CAM).</t>
  </si>
  <si>
    <t>The energy demand of cell and CAM production is estimated from information provided by the equipment manufacturers (connected load and operating power).
For plausibility, it makes sense to split the energy demand by process section (e.g. mixing, coating and drying; calendering, separating, vacuum drying; assembling; forming, aging) and by the energy required for infrastructure (e.g. clean and dry rooms, process media).</t>
  </si>
  <si>
    <t>Derived from process parameters and input/output materials. Default assumptions for cell production and 5% Li2CO3 excess in CAM manufacturing.</t>
  </si>
  <si>
    <t>The project bill of materials (BoM) corresponds to the BoM of the battery cell (plus the cathode material required for the production of the CAM, even if this is not produced as part of the project). The BoM of the battery cell can be checked for plausibility by explaining the battery cell design.
If different battery cells are manufactured in the project, an effective BoM must be calculated (output-weighted BoM of the individual cell types). The calculation can be carried out and checked for plausibility in a separate document.</t>
  </si>
  <si>
    <t>Direct measurement</t>
  </si>
  <si>
    <t>Half-hourly</t>
  </si>
  <si>
    <t>Primary Data</t>
  </si>
  <si>
    <t>Secondary Data - Based on assumptions</t>
  </si>
  <si>
    <t>Project task force</t>
  </si>
  <si>
    <t>Hourly</t>
  </si>
  <si>
    <t>Monthly</t>
  </si>
  <si>
    <t>Cross-checked by sustainability and compliance team</t>
  </si>
  <si>
    <t>Cross checked by technical team</t>
  </si>
  <si>
    <t>Electrcity meters</t>
  </si>
  <si>
    <t>Gas meters</t>
  </si>
  <si>
    <t>non (based on MES, production data)</t>
  </si>
  <si>
    <t>Based on production data, esp. input materials used, machine operating times</t>
  </si>
  <si>
    <t>Third Party Data</t>
  </si>
  <si>
    <t>Cell technology group</t>
  </si>
  <si>
    <t>Internal control spreadsheet</t>
  </si>
  <si>
    <t>Campaign based (~monthly)</t>
  </si>
  <si>
    <t>CAM batch based (~monthly)</t>
  </si>
  <si>
    <t>Supplier data</t>
  </si>
  <si>
    <t>Secondary Data - Calculated based on actual data</t>
  </si>
  <si>
    <t>Other</t>
  </si>
  <si>
    <t>Cross-checked by sustainability and compliance team, purchasing department</t>
  </si>
  <si>
    <t>Calculated from production data (inputs/outputs) and cell/material specification sheets.</t>
  </si>
  <si>
    <t>Adoption of assumptions (please describe)</t>
  </si>
  <si>
    <t xml:space="preserve">Suppliers' emission factors are determined based on the process definitions from the GHG guidance document and the process information from the manufacturers.
If different suppliers are used for a component, an effective emission factor must be used (resulting from the emission factors of the individual components weighted by input weight). In the example, only precursor CAM is supplied from a manufacturer with a given emission factor. </t>
  </si>
  <si>
    <t>The PPA on 50 GWh electricity in 2028 and 2029 and 150 GWh from 2030 translates into a share of electricity demand covered by the PPA relative to the total electricity demand of the project. Electricity demand above is given TJ, which needs to be considered when calculating the numbers.</t>
  </si>
  <si>
    <t xml:space="preserve">The BoM results from the  cell specification given in the assumptions.
</t>
  </si>
  <si>
    <t xml:space="preserve">The raw material demand is derived from the BoM, independently of suppliers or in-house production of cell components. Calculations are based on the raw material demand given in the Assumptions tab. </t>
  </si>
  <si>
    <t xml:space="preserve">Other GHG emissions expressed as CO2e from the cell manufacturing lines as well as the CAM plant. </t>
  </si>
  <si>
    <t>Emissions not originating from energy consumption year 2027</t>
  </si>
  <si>
    <t>Emissions not originating from energy consumption year 2028 and following</t>
  </si>
  <si>
    <t>The example assumes the same non-energy GHG emissions as the reference scenario for the cell production. In addition, the CAM factory produces greenhouse gas emissions that are not the result of energy production and provision, such as CO2 as a decomposition product of Li2CO3. Other sources are conceivable and should be listed separately and checked for plausibility.</t>
  </si>
  <si>
    <r>
      <t>EF</t>
    </r>
    <r>
      <rPr>
        <vertAlign val="subscript"/>
        <sz val="10"/>
        <color theme="1"/>
        <rFont val="Arial"/>
        <family val="2"/>
      </rPr>
      <t>electricity,use-phase</t>
    </r>
  </si>
  <si>
    <t>Emissions for electricity production in 2050</t>
  </si>
  <si>
    <t>Base year 2050</t>
  </si>
  <si>
    <t>e1.1</t>
  </si>
  <si>
    <t>Updated version on Emission Factor for EV use phase (relative and total GHG avoidance)</t>
  </si>
  <si>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Carbon:</t>
    </r>
    <r>
      <rPr>
        <sz val="10"/>
        <color theme="1"/>
        <rFont val="Arial"/>
        <family val="2"/>
      </rPr>
      <t xml:space="preserve"> Graphite anode active material, conductive additives in anode and cathode (147.67g/kWh in total)</t>
    </r>
  </si>
  <si>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Copper:</t>
    </r>
    <r>
      <rPr>
        <sz val="10"/>
        <color theme="1"/>
        <rFont val="Arial"/>
        <family val="2"/>
      </rPr>
      <t xml:space="preserve"> Anode current collector, others (16.83g/kWh)
</t>
    </r>
  </si>
  <si>
    <t>Project bill of raw materials Cu</t>
  </si>
  <si>
    <t>Project bill of raw materials C</t>
  </si>
  <si>
    <t>Project bill of raw materials Fe</t>
  </si>
  <si>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Iron:</t>
    </r>
    <r>
      <rPr>
        <sz val="10"/>
        <color theme="1"/>
        <rFont val="Arial"/>
        <family val="2"/>
      </rPr>
      <t xml:space="preserve"> LFP: 35.4 wt% Fe</t>
    </r>
  </si>
  <si>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Phosphorous:</t>
    </r>
    <r>
      <rPr>
        <sz val="10"/>
        <color theme="1"/>
        <rFont val="Arial"/>
        <family val="2"/>
      </rPr>
      <t xml:space="preserve"> LFP: 19.6 wt% P; Electrolyte: 11.8 wt% LiPF6 (of which 20.4 wt% P)</t>
    </r>
  </si>
  <si>
    <t>Project bill of raw materials P</t>
  </si>
  <si>
    <t>Project bill of raw materials Al</t>
  </si>
  <si>
    <t>Project bill of raw materials F</t>
  </si>
  <si>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Fluroine:</t>
    </r>
    <r>
      <rPr>
        <sz val="10"/>
        <color theme="1"/>
        <rFont val="Arial"/>
        <family val="2"/>
      </rPr>
      <t xml:space="preserve"> Electrolyte: 11.8 wt% LiPF6 (of which 75 wt% F); </t>
    </r>
  </si>
  <si>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Aluminum:</t>
    </r>
    <r>
      <rPr>
        <sz val="10"/>
        <color theme="1"/>
        <rFont val="Arial"/>
        <family val="2"/>
      </rPr>
      <t xml:space="preserve"> cathode current collector, battery case 723.51g/kWh, others 5.1g/kWh</t>
    </r>
  </si>
  <si>
    <r>
      <t xml:space="preserve">The project bill of raw materials is derived, for example, from the total BoM of the battery cell and, if applicable, other inputs required for the production of the cells. In the example, the following simplified assumptions were used for the raw material BoM of the cells:
</t>
    </r>
    <r>
      <rPr>
        <b/>
        <sz val="10"/>
        <color theme="1"/>
        <rFont val="Arial"/>
        <family val="2"/>
      </rPr>
      <t>Lithium:</t>
    </r>
    <r>
      <rPr>
        <sz val="10"/>
        <color theme="1"/>
        <rFont val="Arial"/>
        <family val="2"/>
      </rPr>
      <t xml:space="preserve"> LFP: 4.4 wt% Li; Electrolyte: 11.8 wt% LiPF6 (of which 4.6 wt% Li)</t>
    </r>
  </si>
  <si>
    <t>Project bill of raw materials Li</t>
  </si>
  <si>
    <t>Battery cell design. Material manufacturing process.</t>
  </si>
  <si>
    <t>Project bill of materials Precursor cathode active material pCAM</t>
  </si>
  <si>
    <t>Project bill of materials cathode active material CAM</t>
  </si>
  <si>
    <t>Project bill of materials anode active material AAM</t>
  </si>
  <si>
    <t>Project bill of materials electrolyte</t>
  </si>
  <si>
    <t>Project bill of materials separator</t>
  </si>
  <si>
    <t>Project bill of materials cathode current collector</t>
  </si>
  <si>
    <t>Project bill of materials anode current collector</t>
  </si>
  <si>
    <t>g / kWh</t>
  </si>
  <si>
    <t>Manufacturer's specifications.</t>
  </si>
  <si>
    <t>Material specification; battery cell design.</t>
  </si>
  <si>
    <t>Emission factor of precursor cathode active material pCAM production (not produced as part of the project)</t>
  </si>
  <si>
    <t>Project energy storage capacity output year 2027</t>
  </si>
  <si>
    <t>Project energy storage capacity output year 2028 and following</t>
  </si>
  <si>
    <t>Hypothetical project with a final machine capacity of 12,000 MWh per year. The production plan envisages an output of 4,000 MWh in 2027 (cells with successful end of line test), taking into account ramp-up, maintenance and provisioning times as well as the expected scrap on the lines.</t>
  </si>
  <si>
    <r>
      <t>EF</t>
    </r>
    <r>
      <rPr>
        <vertAlign val="subscript"/>
        <sz val="9"/>
        <color theme="1"/>
        <rFont val="Calibri"/>
        <family val="2"/>
        <scheme val="minor"/>
      </rPr>
      <t>Diesel,use-phase</t>
    </r>
  </si>
  <si>
    <t>GHG Example - BATT - Battery cell with integrated CAM production</t>
  </si>
  <si>
    <t>v1.1</t>
  </si>
  <si>
    <t>e1.2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</si>
</sst>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2]\ * #,##0.00_ ;_ [$€-2]\ * \-#,##0.00_ ;_ [$€-2]\ * &quot;-&quot;??_ "/>
    <numFmt numFmtId="166" formatCode="_ [$€-2]\ * #,##0.000000000000_ ;_ [$€-2]\ * \-#,##0.000000000000_ ;_ [$€-2]\ * &quot;-&quot;??_ "/>
    <numFmt numFmtId="167" formatCode="#,##0_ ;\-#,##0\ "/>
    <numFmt numFmtId="168" formatCode="#,##0.0_ ;\-#,##0.0\ "/>
    <numFmt numFmtId="169" formatCode="#,##0.00_ ;\-#,##0.00\ "/>
    <numFmt numFmtId="170" formatCode="#,##0.00000_ ;\-#,##0.00000\ "/>
    <numFmt numFmtId="171" formatCode="#,##0.000_ ;\-#,##0.000\ "/>
    <numFmt numFmtId="172" formatCode="#,##0.0000_ ;\-#,##0.0000\ "/>
    <numFmt numFmtId="173" formatCode="0.0000%"/>
    <numFmt numFmtId="174" formatCode="#,##0.000000_ ;\-#,##0.000000\ "/>
    <numFmt numFmtId="175" formatCode="0.0000000"/>
    <numFmt numFmtId="176" formatCode="0.000"/>
    <numFmt numFmtId="177" formatCode="0.0"/>
  </numFmts>
  <fonts count="43"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vertAlign val="superscript"/>
      <sz val="10"/>
      <color theme="1"/>
      <name val="Arial"/>
      <family val="2"/>
    </font>
    <font>
      <b/>
      <sz val="10"/>
      <name val="Arial"/>
      <family val="2"/>
    </font>
    <font>
      <b/>
      <sz val="10"/>
      <color theme="1"/>
      <name val="Arial"/>
      <family val="2"/>
    </font>
    <font>
      <u/>
      <sz val="10"/>
      <color theme="10"/>
      <name val="Arial"/>
      <family val="2"/>
    </font>
    <font>
      <b/>
      <sz val="10"/>
      <name val="Verdana"/>
      <family val="2"/>
    </font>
    <font>
      <b/>
      <sz val="9"/>
      <name val="Verdana"/>
      <family val="2"/>
    </font>
    <font>
      <sz val="9"/>
      <name val="Verdana"/>
      <family val="2"/>
    </font>
    <font>
      <b/>
      <sz val="10"/>
      <color theme="0"/>
      <name val="Arial"/>
      <family val="2"/>
    </font>
    <font>
      <sz val="11"/>
      <name val="Arial"/>
      <family val="2"/>
    </font>
    <font>
      <sz val="11"/>
      <color theme="1"/>
      <name val="Arial"/>
      <family val="2"/>
    </font>
    <font>
      <b/>
      <sz val="11"/>
      <name val="Arial"/>
      <family val="2"/>
    </font>
    <font>
      <b/>
      <sz val="11"/>
      <color theme="1"/>
      <name val="Arial"/>
      <family val="2"/>
    </font>
    <font>
      <i/>
      <sz val="11"/>
      <name val="Arial"/>
      <family val="2"/>
    </font>
    <font>
      <b/>
      <sz val="11"/>
      <color rgb="FFFF0000"/>
      <name val="Calibri"/>
      <family val="2"/>
      <scheme val="minor"/>
    </font>
    <font>
      <sz val="11"/>
      <name val="Calibri"/>
      <family val="2"/>
      <scheme val="minor"/>
    </font>
    <font>
      <sz val="10"/>
      <color rgb="FFFFFFFF"/>
      <name val="Arial"/>
      <family val="2"/>
    </font>
    <font>
      <sz val="9"/>
      <color theme="1"/>
      <name val="Arial"/>
      <family val="2"/>
    </font>
    <font>
      <sz val="8"/>
      <color rgb="FFFFFFFF"/>
      <name val="Arial"/>
      <family val="2"/>
    </font>
    <font>
      <i/>
      <sz val="10"/>
      <color rgb="FF000000"/>
      <name val="Arial"/>
      <family val="2"/>
    </font>
    <font>
      <sz val="11"/>
      <color rgb="FF000000"/>
      <name val="Arial"/>
      <family val="2"/>
    </font>
    <font>
      <b/>
      <sz val="10"/>
      <color rgb="FF000000"/>
      <name val="Arial"/>
      <family val="2"/>
    </font>
    <font>
      <b/>
      <sz val="11"/>
      <color rgb="FFFFFFFF"/>
      <name val="Arial"/>
      <family val="2"/>
    </font>
    <font>
      <vertAlign val="subscript"/>
      <sz val="11"/>
      <color rgb="FF000000"/>
      <name val="Arial"/>
      <family val="2"/>
    </font>
    <font>
      <i/>
      <sz val="11"/>
      <color theme="1"/>
      <name val="Arial"/>
      <family val="2"/>
    </font>
    <font>
      <sz val="10"/>
      <color theme="0"/>
      <name val="Arial"/>
      <family val="2"/>
    </font>
    <font>
      <sz val="8"/>
      <name val="Calibri"/>
      <family val="2"/>
      <scheme val="minor"/>
    </font>
    <font>
      <sz val="9"/>
      <color theme="1"/>
      <name val="Calibri"/>
      <family val="2"/>
      <scheme val="minor"/>
    </font>
    <font>
      <vertAlign val="subscript"/>
      <sz val="9"/>
      <color theme="1"/>
      <name val="Calibri"/>
      <family val="2"/>
      <scheme val="minor"/>
    </font>
    <font>
      <vertAlign val="subscript"/>
      <sz val="10"/>
      <name val="Arial"/>
      <family val="2"/>
    </font>
    <font>
      <i/>
      <vertAlign val="subscript"/>
      <sz val="11"/>
      <color theme="1"/>
      <name val="Arial"/>
      <family val="2"/>
    </font>
    <font>
      <i/>
      <sz val="9"/>
      <name val="Arial"/>
      <family val="2"/>
    </font>
    <font>
      <i/>
      <sz val="10"/>
      <name val="Arial"/>
      <family val="2"/>
    </font>
    <font>
      <i/>
      <sz val="10"/>
      <color theme="1"/>
      <name val="Arial"/>
      <family val="2"/>
    </font>
  </fonts>
  <fills count="2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FF"/>
        <bgColor rgb="FF000000"/>
      </patternFill>
    </fill>
    <fill>
      <patternFill patternType="solid">
        <fgColor theme="9" tint="0.79998168889431442"/>
        <bgColor indexed="64"/>
      </patternFill>
    </fill>
    <fill>
      <patternFill patternType="solid">
        <fgColor theme="2"/>
        <bgColor indexed="64"/>
      </patternFill>
    </fill>
    <fill>
      <patternFill patternType="lightUp">
        <fgColor theme="2" tint="-0.749961851863155"/>
        <bgColor theme="0" tint="-0.24994659260841701"/>
      </patternFill>
    </fill>
    <fill>
      <patternFill patternType="solid">
        <fgColor theme="0"/>
        <bgColor rgb="FF000000"/>
      </patternFill>
    </fill>
    <fill>
      <patternFill patternType="solid">
        <fgColor theme="1"/>
        <bgColor indexed="64"/>
      </patternFill>
    </fill>
    <fill>
      <patternFill patternType="solid">
        <fgColor rgb="FF7030A0"/>
        <bgColor indexed="64"/>
      </patternFill>
    </fill>
    <fill>
      <patternFill patternType="solid">
        <fgColor rgb="FFAA72D4"/>
        <bgColor indexed="64"/>
      </patternFill>
    </fill>
    <fill>
      <patternFill patternType="solid">
        <fgColor theme="1" tint="0.34998626667073579"/>
        <bgColor indexed="64"/>
      </patternFill>
    </fill>
    <fill>
      <patternFill patternType="solid">
        <fgColor rgb="FFD9D9D9"/>
        <bgColor indexed="64"/>
      </patternFill>
    </fill>
  </fills>
  <borders count="31">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rgb="FFD8E0E3"/>
      </bottom>
      <diagonal/>
    </border>
    <border>
      <left/>
      <right style="medium">
        <color rgb="FFD8E0E3"/>
      </right>
      <top style="medium">
        <color theme="0" tint="-0.249977111117893"/>
      </top>
      <bottom/>
      <diagonal/>
    </border>
    <border>
      <left style="medium">
        <color rgb="FFD8E0E3"/>
      </left>
      <right style="medium">
        <color rgb="FFD8E0E3"/>
      </right>
      <top style="medium">
        <color theme="0" tint="-0.249977111117893"/>
      </top>
      <bottom/>
      <diagonal/>
    </border>
    <border>
      <left/>
      <right style="medium">
        <color rgb="FFD8E0E3"/>
      </right>
      <top style="medium">
        <color rgb="FFD8E0E3"/>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style="medium">
        <color rgb="FFBFBFBF"/>
      </right>
      <top/>
      <bottom style="medium">
        <color rgb="FFBFBFBF"/>
      </bottom>
      <diagonal/>
    </border>
    <border>
      <left style="medium">
        <color theme="0" tint="-0.249977111117893"/>
      </left>
      <right style="thin">
        <color theme="0" tint="-0.34998626667073579"/>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s>
  <cellStyleXfs count="1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6" fontId="1" fillId="0" borderId="0"/>
    <xf numFmtId="43" fontId="1" fillId="0" borderId="0" applyFont="0" applyFill="0" applyBorder="0" applyAlignment="0" applyProtection="0"/>
    <xf numFmtId="0" fontId="3" fillId="15" borderId="3">
      <alignment vertical="center"/>
    </xf>
    <xf numFmtId="0" fontId="3" fillId="15" borderId="3">
      <alignment vertical="center"/>
    </xf>
    <xf numFmtId="0" fontId="18" fillId="6" borderId="3">
      <alignment vertical="center"/>
      <protection locked="0"/>
    </xf>
  </cellStyleXfs>
  <cellXfs count="222">
    <xf numFmtId="0" fontId="0" fillId="0" borderId="0" xfId="0"/>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1" fillId="7" borderId="1" xfId="8" applyFont="1" applyFill="1" applyBorder="1" applyAlignment="1" applyProtection="1">
      <alignment vertical="center"/>
      <protection locked="0"/>
    </xf>
    <xf numFmtId="0" fontId="12" fillId="2" borderId="1" xfId="3" applyFont="1" applyFill="1" applyBorder="1" applyAlignment="1" applyProtection="1">
      <alignment horizontal="left" vertical="center"/>
      <protection locked="0" hidden="1"/>
    </xf>
    <xf numFmtId="0" fontId="3" fillId="2" borderId="1" xfId="3" applyFill="1" applyBorder="1" applyAlignment="1" applyProtection="1">
      <alignment horizontal="left" vertical="center"/>
      <protection locked="0" hidden="1"/>
    </xf>
    <xf numFmtId="0" fontId="12" fillId="2" borderId="0" xfId="3" applyFont="1" applyFill="1" applyAlignment="1" applyProtection="1">
      <alignment horizontal="left" vertical="center"/>
      <protection locked="0" hidden="1"/>
    </xf>
    <xf numFmtId="0" fontId="3" fillId="2" borderId="0" xfId="3" applyFill="1" applyAlignment="1" applyProtection="1">
      <alignment horizontal="left" vertical="center"/>
      <protection locked="0" hidden="1"/>
    </xf>
    <xf numFmtId="0" fontId="3" fillId="2" borderId="0" xfId="3"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4" borderId="3" xfId="0" applyFont="1" applyFill="1" applyBorder="1" applyAlignment="1">
      <alignment vertical="center" wrapText="1"/>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0" fontId="3" fillId="6" borderId="3" xfId="4" applyFill="1" applyBorder="1" applyAlignment="1">
      <alignment vertical="center"/>
    </xf>
    <xf numFmtId="0" fontId="5" fillId="2" borderId="3" xfId="0" applyFont="1" applyFill="1" applyBorder="1"/>
    <xf numFmtId="0" fontId="3" fillId="2" borderId="0" xfId="6" applyFill="1" applyAlignment="1" applyProtection="1">
      <alignment horizontal="left" vertical="center"/>
      <protection locked="0" hidden="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3" fillId="6" borderId="3" xfId="4" applyFill="1" applyBorder="1" applyAlignment="1">
      <alignment vertical="center" wrapText="1"/>
    </xf>
    <xf numFmtId="0" fontId="5" fillId="2" borderId="0" xfId="0" applyFont="1" applyFill="1" applyAlignment="1">
      <alignment horizontal="center" vertical="top"/>
    </xf>
    <xf numFmtId="0" fontId="6" fillId="8" borderId="3" xfId="0" applyFont="1" applyFill="1" applyBorder="1" applyAlignment="1">
      <alignment horizontal="center" vertical="top" wrapText="1"/>
    </xf>
    <xf numFmtId="0" fontId="5" fillId="2" borderId="0" xfId="0" quotePrefix="1" applyFont="1" applyFill="1"/>
    <xf numFmtId="0" fontId="3" fillId="2" borderId="3" xfId="3" applyFill="1" applyBorder="1" applyAlignment="1" applyProtection="1">
      <alignment horizontal="left" vertical="center" wrapText="1"/>
      <protection locked="0" hidden="1"/>
    </xf>
    <xf numFmtId="0" fontId="3" fillId="2" borderId="3" xfId="6" applyFill="1" applyBorder="1" applyAlignment="1" applyProtection="1">
      <alignment horizontal="left" vertical="center" wrapText="1"/>
      <protection locked="0" hidden="1"/>
    </xf>
    <xf numFmtId="0" fontId="13" fillId="0" borderId="3" xfId="2" applyFont="1" applyBorder="1" applyAlignment="1">
      <alignment vertical="center" wrapText="1"/>
    </xf>
    <xf numFmtId="0" fontId="5" fillId="2" borderId="3" xfId="0" applyFont="1" applyFill="1" applyBorder="1" applyAlignment="1">
      <alignment wrapText="1"/>
    </xf>
    <xf numFmtId="0" fontId="5" fillId="0" borderId="10" xfId="0" applyFont="1" applyBorder="1" applyAlignment="1">
      <alignment vertical="center" wrapText="1"/>
    </xf>
    <xf numFmtId="0" fontId="5" fillId="0" borderId="12" xfId="0" applyFont="1" applyBorder="1" applyAlignment="1">
      <alignment vertical="center" wrapText="1"/>
    </xf>
    <xf numFmtId="0" fontId="5" fillId="0" borderId="11" xfId="0" applyFont="1" applyBorder="1" applyAlignment="1">
      <alignment vertical="center" wrapText="1"/>
    </xf>
    <xf numFmtId="0" fontId="5" fillId="0" borderId="13" xfId="0" applyFont="1" applyBorder="1" applyAlignment="1">
      <alignment vertical="center" wrapText="1"/>
    </xf>
    <xf numFmtId="0" fontId="5" fillId="6" borderId="3" xfId="0" applyFont="1" applyFill="1" applyBorder="1" applyAlignment="1">
      <alignment vertical="center" wrapText="1"/>
    </xf>
    <xf numFmtId="0" fontId="5" fillId="0" borderId="3" xfId="0" applyFont="1" applyBorder="1" applyAlignment="1">
      <alignment vertical="center"/>
    </xf>
    <xf numFmtId="0" fontId="13" fillId="0" borderId="12" xfId="2" applyFont="1" applyBorder="1" applyAlignment="1">
      <alignment vertical="center" wrapText="1"/>
    </xf>
    <xf numFmtId="0" fontId="19" fillId="2" borderId="0" xfId="0" applyFont="1" applyFill="1"/>
    <xf numFmtId="0" fontId="21" fillId="2" borderId="1" xfId="3" applyFont="1" applyFill="1" applyBorder="1" applyAlignment="1" applyProtection="1">
      <alignment horizontal="left" vertical="center"/>
      <protection locked="0" hidden="1"/>
    </xf>
    <xf numFmtId="0" fontId="0" fillId="2" borderId="0" xfId="0" applyFill="1"/>
    <xf numFmtId="0" fontId="24" fillId="2" borderId="17" xfId="0" applyFont="1" applyFill="1" applyBorder="1" applyAlignment="1">
      <alignment vertical="top"/>
    </xf>
    <xf numFmtId="0" fontId="24" fillId="2" borderId="0" xfId="0" applyFont="1" applyFill="1" applyAlignment="1">
      <alignment vertical="top"/>
    </xf>
    <xf numFmtId="0" fontId="3" fillId="0" borderId="3" xfId="0" applyFont="1" applyBorder="1" applyAlignment="1">
      <alignment vertical="center" wrapText="1"/>
    </xf>
    <xf numFmtId="0" fontId="26" fillId="2" borderId="0" xfId="0" applyFont="1" applyFill="1"/>
    <xf numFmtId="0" fontId="7" fillId="10" borderId="3" xfId="0" applyFont="1" applyFill="1" applyBorder="1" applyAlignment="1">
      <alignment vertical="center" wrapText="1"/>
    </xf>
    <xf numFmtId="0" fontId="5" fillId="10" borderId="3" xfId="0" applyFont="1" applyFill="1" applyBorder="1" applyAlignment="1">
      <alignment vertical="center" wrapText="1"/>
    </xf>
    <xf numFmtId="0" fontId="7" fillId="10" borderId="3" xfId="0" applyFont="1" applyFill="1" applyBorder="1" applyAlignment="1">
      <alignment horizontal="left" vertical="top" wrapText="1"/>
    </xf>
    <xf numFmtId="0" fontId="7" fillId="11" borderId="3" xfId="0" quotePrefix="1" applyFont="1" applyFill="1" applyBorder="1" applyAlignment="1">
      <alignment vertical="center"/>
    </xf>
    <xf numFmtId="0" fontId="7" fillId="11" borderId="3" xfId="0" applyFont="1" applyFill="1" applyBorder="1" applyAlignment="1">
      <alignment vertical="center"/>
    </xf>
    <xf numFmtId="0" fontId="5" fillId="11" borderId="3" xfId="0" applyFont="1" applyFill="1" applyBorder="1" applyAlignment="1">
      <alignment vertical="center"/>
    </xf>
    <xf numFmtId="0" fontId="7" fillId="11" borderId="3" xfId="0" applyFont="1" applyFill="1" applyBorder="1" applyAlignment="1">
      <alignment horizontal="left" vertical="top"/>
    </xf>
    <xf numFmtId="0" fontId="5" fillId="10" borderId="3" xfId="0" applyFont="1" applyFill="1" applyBorder="1" applyAlignment="1">
      <alignment vertical="center"/>
    </xf>
    <xf numFmtId="0" fontId="13" fillId="10" borderId="3" xfId="2" applyFont="1" applyFill="1" applyBorder="1" applyAlignment="1">
      <alignment vertical="center" wrapText="1"/>
    </xf>
    <xf numFmtId="0" fontId="3" fillId="10" borderId="3" xfId="4" applyFill="1" applyBorder="1" applyAlignment="1">
      <alignment vertical="center" wrapText="1"/>
    </xf>
    <xf numFmtId="0" fontId="11" fillId="7" borderId="0" xfId="8" applyFont="1" applyFill="1" applyAlignment="1" applyProtection="1">
      <alignment vertical="center"/>
      <protection locked="0"/>
    </xf>
    <xf numFmtId="0" fontId="5" fillId="0" borderId="2" xfId="0" applyFont="1" applyBorder="1" applyAlignment="1">
      <alignment horizontal="left" vertical="top" wrapText="1"/>
    </xf>
    <xf numFmtId="0" fontId="28" fillId="12" borderId="0" xfId="3" applyFont="1" applyFill="1" applyAlignment="1" applyProtection="1">
      <alignment horizontal="left" vertical="center"/>
      <protection locked="0" hidden="1"/>
    </xf>
    <xf numFmtId="0" fontId="15" fillId="0" borderId="20" xfId="3" applyFont="1" applyBorder="1" applyAlignment="1">
      <alignment horizontal="center" vertical="center" wrapText="1"/>
    </xf>
    <xf numFmtId="0" fontId="16" fillId="0" borderId="20" xfId="3" applyFont="1" applyBorder="1" applyAlignment="1">
      <alignment horizontal="center" vertical="center" wrapText="1"/>
    </xf>
    <xf numFmtId="0" fontId="32" fillId="9" borderId="3" xfId="0" applyFont="1" applyFill="1" applyBorder="1" applyAlignment="1">
      <alignment vertical="center" wrapText="1"/>
    </xf>
    <xf numFmtId="0" fontId="29" fillId="14" borderId="3" xfId="0" applyFont="1" applyFill="1" applyBorder="1" applyAlignment="1">
      <alignment horizontal="left" vertical="top" wrapText="1"/>
    </xf>
    <xf numFmtId="0" fontId="5" fillId="14" borderId="0" xfId="0" applyFont="1" applyFill="1"/>
    <xf numFmtId="0" fontId="12" fillId="2" borderId="0" xfId="0" applyFont="1" applyFill="1" applyAlignment="1">
      <alignment horizontal="left" vertical="top"/>
    </xf>
    <xf numFmtId="0" fontId="20" fillId="0" borderId="1" xfId="8" applyFont="1" applyBorder="1" applyAlignment="1" applyProtection="1">
      <alignment vertical="center"/>
      <protection locked="0"/>
    </xf>
    <xf numFmtId="0" fontId="19" fillId="0" borderId="1" xfId="0" applyFont="1" applyBorder="1"/>
    <xf numFmtId="0" fontId="19" fillId="0" borderId="0" xfId="0" applyFont="1"/>
    <xf numFmtId="0" fontId="33" fillId="0" borderId="0" xfId="0" applyFont="1"/>
    <xf numFmtId="0" fontId="31" fillId="8" borderId="3" xfId="0" applyFont="1" applyFill="1" applyBorder="1" applyAlignment="1">
      <alignment horizontal="center" vertical="center" wrapText="1"/>
    </xf>
    <xf numFmtId="0" fontId="29" fillId="9" borderId="3" xfId="0" applyFont="1" applyFill="1" applyBorder="1" applyAlignment="1">
      <alignment horizontal="left" vertical="center" wrapText="1"/>
    </xf>
    <xf numFmtId="0" fontId="18" fillId="2" borderId="0" xfId="3" applyFont="1" applyFill="1" applyAlignment="1">
      <alignment horizontal="left" vertical="center"/>
    </xf>
    <xf numFmtId="0" fontId="3" fillId="15" borderId="3" xfId="4" applyFill="1" applyBorder="1" applyAlignment="1">
      <alignment vertical="center"/>
    </xf>
    <xf numFmtId="0" fontId="3" fillId="15" borderId="3" xfId="13">
      <alignment vertical="center"/>
    </xf>
    <xf numFmtId="167" fontId="5" fillId="0" borderId="3" xfId="0" applyNumberFormat="1" applyFont="1" applyBorder="1" applyAlignment="1">
      <alignment horizontal="center" vertical="center" wrapText="1"/>
    </xf>
    <xf numFmtId="167" fontId="7" fillId="4" borderId="3" xfId="0" applyNumberFormat="1" applyFont="1" applyFill="1" applyBorder="1" applyAlignment="1">
      <alignment horizontal="center" vertical="center" wrapText="1"/>
    </xf>
    <xf numFmtId="167" fontId="29" fillId="4" borderId="3" xfId="0" applyNumberFormat="1" applyFont="1" applyFill="1" applyBorder="1" applyAlignment="1">
      <alignment horizontal="right" vertical="center" wrapText="1"/>
    </xf>
    <xf numFmtId="167" fontId="7" fillId="4" borderId="3" xfId="0" applyNumberFormat="1" applyFont="1" applyFill="1" applyBorder="1" applyAlignment="1">
      <alignment horizontal="right" vertical="center" wrapText="1"/>
    </xf>
    <xf numFmtId="167" fontId="7" fillId="3" borderId="3" xfId="0" applyNumberFormat="1" applyFont="1" applyFill="1" applyBorder="1" applyAlignment="1">
      <alignment horizontal="right" vertical="center" wrapText="1"/>
    </xf>
    <xf numFmtId="0" fontId="3" fillId="15" borderId="3" xfId="13" applyAlignment="1">
      <alignment horizontal="right" vertical="center"/>
    </xf>
    <xf numFmtId="168" fontId="7" fillId="4" borderId="3" xfId="0" applyNumberFormat="1" applyFont="1" applyFill="1" applyBorder="1" applyAlignment="1">
      <alignment horizontal="right" vertical="center" wrapText="1"/>
    </xf>
    <xf numFmtId="168" fontId="7" fillId="3" borderId="3" xfId="0" applyNumberFormat="1" applyFont="1" applyFill="1" applyBorder="1" applyAlignment="1">
      <alignment horizontal="right" vertical="center" wrapText="1"/>
    </xf>
    <xf numFmtId="169" fontId="7" fillId="4" borderId="3" xfId="0" applyNumberFormat="1" applyFont="1" applyFill="1" applyBorder="1" applyAlignment="1">
      <alignment horizontal="right" vertical="center" wrapText="1"/>
    </xf>
    <xf numFmtId="170" fontId="7" fillId="4" borderId="3" xfId="0" applyNumberFormat="1" applyFont="1" applyFill="1" applyBorder="1" applyAlignment="1">
      <alignment horizontal="right" vertical="center" wrapText="1"/>
    </xf>
    <xf numFmtId="0" fontId="16" fillId="0" borderId="20" xfId="3" applyFont="1" applyBorder="1" applyAlignment="1">
      <alignment horizontal="left" vertical="center" wrapText="1"/>
    </xf>
    <xf numFmtId="9" fontId="7" fillId="3" borderId="3" xfId="0" applyNumberFormat="1" applyFont="1" applyFill="1" applyBorder="1" applyAlignment="1">
      <alignment horizontal="right" vertical="center" wrapText="1"/>
    </xf>
    <xf numFmtId="171" fontId="7" fillId="4" borderId="3" xfId="0" applyNumberFormat="1" applyFont="1" applyFill="1" applyBorder="1" applyAlignment="1">
      <alignment horizontal="right" vertical="center" wrapText="1"/>
    </xf>
    <xf numFmtId="172" fontId="7" fillId="4" borderId="3" xfId="0" applyNumberFormat="1" applyFont="1" applyFill="1" applyBorder="1" applyAlignment="1">
      <alignment horizontal="right" vertical="center" wrapText="1"/>
    </xf>
    <xf numFmtId="9" fontId="7" fillId="4" borderId="3" xfId="0" applyNumberFormat="1" applyFont="1" applyFill="1" applyBorder="1" applyAlignment="1">
      <alignment horizontal="right" vertical="center" wrapText="1"/>
    </xf>
    <xf numFmtId="169" fontId="7" fillId="4" borderId="3" xfId="0" applyNumberFormat="1" applyFont="1" applyFill="1" applyBorder="1" applyAlignment="1">
      <alignment horizontal="center" vertical="center" wrapText="1"/>
    </xf>
    <xf numFmtId="173" fontId="5" fillId="2" borderId="0" xfId="1" applyNumberFormat="1" applyFont="1" applyFill="1"/>
    <xf numFmtId="0" fontId="7" fillId="0" borderId="3" xfId="0" applyFont="1" applyBorder="1" applyAlignment="1">
      <alignment horizontal="left" vertical="top" wrapText="1"/>
    </xf>
    <xf numFmtId="0" fontId="31" fillId="17" borderId="3" xfId="0" applyFont="1" applyFill="1" applyBorder="1" applyAlignment="1">
      <alignment horizontal="left" vertical="center"/>
    </xf>
    <xf numFmtId="0" fontId="31" fillId="17" borderId="5" xfId="0" applyFont="1" applyFill="1" applyBorder="1" applyAlignment="1">
      <alignment horizontal="center" vertical="center" wrapText="1"/>
    </xf>
    <xf numFmtId="0" fontId="31" fillId="17" borderId="3" xfId="0" applyFont="1" applyFill="1" applyBorder="1" applyAlignment="1">
      <alignment horizontal="right" vertical="center" wrapText="1"/>
    </xf>
    <xf numFmtId="0" fontId="31" fillId="17" borderId="5" xfId="0" applyFont="1" applyFill="1" applyBorder="1" applyAlignment="1">
      <alignment horizontal="right" vertical="center" wrapText="1"/>
    </xf>
    <xf numFmtId="0" fontId="31" fillId="17" borderId="3" xfId="0" applyFont="1" applyFill="1" applyBorder="1" applyAlignment="1">
      <alignment horizontal="center" vertical="center" wrapText="1"/>
    </xf>
    <xf numFmtId="2" fontId="7" fillId="3" borderId="3" xfId="1" applyNumberFormat="1" applyFont="1" applyFill="1" applyBorder="1" applyAlignment="1">
      <alignment horizontal="right" vertical="center" wrapText="1"/>
    </xf>
    <xf numFmtId="0" fontId="31" fillId="18" borderId="3" xfId="0" applyFont="1" applyFill="1" applyBorder="1" applyAlignment="1">
      <alignment horizontal="left" vertical="center"/>
    </xf>
    <xf numFmtId="0" fontId="31" fillId="18" borderId="5" xfId="0" applyFont="1" applyFill="1" applyBorder="1" applyAlignment="1">
      <alignment horizontal="center" vertical="center" wrapText="1"/>
    </xf>
    <xf numFmtId="0" fontId="31" fillId="18" borderId="5" xfId="0" applyFont="1" applyFill="1" applyBorder="1" applyAlignment="1">
      <alignment horizontal="right" vertical="center" wrapText="1"/>
    </xf>
    <xf numFmtId="0" fontId="31" fillId="18" borderId="3" xfId="0" applyFont="1" applyFill="1" applyBorder="1" applyAlignment="1">
      <alignment horizontal="right" vertical="center" wrapText="1"/>
    </xf>
    <xf numFmtId="0" fontId="31" fillId="18" borderId="3" xfId="0" applyFont="1" applyFill="1" applyBorder="1" applyAlignment="1">
      <alignment horizontal="center" vertical="center" wrapText="1"/>
    </xf>
    <xf numFmtId="0" fontId="7" fillId="18" borderId="3" xfId="0" applyFont="1" applyFill="1" applyBorder="1" applyAlignment="1">
      <alignment horizontal="left" vertical="top" wrapText="1"/>
    </xf>
    <xf numFmtId="0" fontId="34" fillId="18" borderId="3" xfId="0" applyFont="1" applyFill="1" applyBorder="1" applyAlignment="1">
      <alignment horizontal="left" vertical="top"/>
    </xf>
    <xf numFmtId="0" fontId="34" fillId="18" borderId="3" xfId="0" applyFont="1" applyFill="1" applyBorder="1" applyAlignment="1">
      <alignment horizontal="left" vertical="top" wrapText="1"/>
    </xf>
    <xf numFmtId="0" fontId="31" fillId="19" borderId="3" xfId="0" applyFont="1" applyFill="1" applyBorder="1" applyAlignment="1">
      <alignment horizontal="left" vertical="center"/>
    </xf>
    <xf numFmtId="0" fontId="31" fillId="19" borderId="5" xfId="0" applyFont="1" applyFill="1" applyBorder="1" applyAlignment="1">
      <alignment horizontal="center" vertical="center" wrapText="1"/>
    </xf>
    <xf numFmtId="0" fontId="31" fillId="19" borderId="3" xfId="0" applyFont="1" applyFill="1" applyBorder="1" applyAlignment="1">
      <alignment horizontal="right" vertical="center" wrapText="1"/>
    </xf>
    <xf numFmtId="0" fontId="31" fillId="19" borderId="3" xfId="0" applyFont="1" applyFill="1" applyBorder="1" applyAlignment="1">
      <alignment horizontal="center" vertical="center" wrapText="1"/>
    </xf>
    <xf numFmtId="0" fontId="5" fillId="2" borderId="3" xfId="0" applyFont="1" applyFill="1" applyBorder="1" applyAlignment="1">
      <alignment vertical="center"/>
    </xf>
    <xf numFmtId="0" fontId="3" fillId="16" borderId="26" xfId="0" applyFont="1" applyFill="1" applyBorder="1" applyAlignment="1">
      <alignment vertical="center" wrapText="1"/>
    </xf>
    <xf numFmtId="0" fontId="6" fillId="18" borderId="3" xfId="0" applyFont="1" applyFill="1" applyBorder="1" applyAlignment="1">
      <alignment horizontal="center" vertical="center" wrapText="1"/>
    </xf>
    <xf numFmtId="0" fontId="6" fillId="18" borderId="3" xfId="0" applyFont="1" applyFill="1" applyBorder="1" applyAlignment="1">
      <alignment vertical="center" wrapText="1"/>
    </xf>
    <xf numFmtId="0" fontId="17" fillId="18" borderId="3" xfId="0" applyFont="1" applyFill="1" applyBorder="1" applyAlignment="1">
      <alignment vertical="center" wrapText="1"/>
    </xf>
    <xf numFmtId="0" fontId="6" fillId="17" borderId="3" xfId="0" applyFont="1" applyFill="1" applyBorder="1" applyAlignment="1">
      <alignment vertical="center" wrapText="1"/>
    </xf>
    <xf numFmtId="0" fontId="6" fillId="17" borderId="3"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3" fillId="0" borderId="3" xfId="4" applyBorder="1" applyAlignment="1">
      <alignment vertical="center" wrapText="1"/>
    </xf>
    <xf numFmtId="175" fontId="5" fillId="0" borderId="11" xfId="0" applyNumberFormat="1" applyFont="1" applyBorder="1" applyAlignment="1">
      <alignment vertical="center" wrapText="1"/>
    </xf>
    <xf numFmtId="176" fontId="3" fillId="0" borderId="11" xfId="0" applyNumberFormat="1" applyFont="1" applyBorder="1" applyAlignment="1">
      <alignment vertical="center" wrapText="1"/>
    </xf>
    <xf numFmtId="176" fontId="5" fillId="0" borderId="11" xfId="0" applyNumberFormat="1" applyFont="1" applyBorder="1" applyAlignment="1">
      <alignment vertical="center" wrapText="1"/>
    </xf>
    <xf numFmtId="0" fontId="5" fillId="0" borderId="3" xfId="0" applyFont="1" applyBorder="1" applyAlignment="1">
      <alignment horizontal="left" vertical="top" wrapText="1"/>
    </xf>
    <xf numFmtId="167" fontId="7" fillId="6" borderId="3" xfId="0" applyNumberFormat="1" applyFont="1" applyFill="1" applyBorder="1" applyAlignment="1">
      <alignment horizontal="right" vertical="center" wrapText="1"/>
    </xf>
    <xf numFmtId="174" fontId="7" fillId="6" borderId="3" xfId="0" applyNumberFormat="1" applyFont="1" applyFill="1" applyBorder="1" applyAlignment="1">
      <alignment horizontal="right" vertical="center" wrapText="1"/>
    </xf>
    <xf numFmtId="0" fontId="36" fillId="0" borderId="0" xfId="0" applyFont="1"/>
    <xf numFmtId="2" fontId="5" fillId="0" borderId="11" xfId="0" applyNumberFormat="1" applyFont="1" applyBorder="1" applyAlignment="1">
      <alignment vertical="center" wrapText="1"/>
    </xf>
    <xf numFmtId="2" fontId="5" fillId="0" borderId="3" xfId="0" applyNumberFormat="1" applyFont="1" applyBorder="1" applyAlignment="1">
      <alignment vertical="center" wrapText="1"/>
    </xf>
    <xf numFmtId="173" fontId="5" fillId="2" borderId="0" xfId="1" applyNumberFormat="1" applyFont="1" applyFill="1" applyBorder="1"/>
    <xf numFmtId="0" fontId="21" fillId="19" borderId="3" xfId="0" applyFont="1" applyFill="1" applyBorder="1" applyAlignment="1">
      <alignment horizontal="left" vertical="center"/>
    </xf>
    <xf numFmtId="0" fontId="3" fillId="0" borderId="0" xfId="8" applyFont="1" applyAlignment="1" applyProtection="1">
      <alignment vertical="center"/>
      <protection locked="0"/>
    </xf>
    <xf numFmtId="0" fontId="31" fillId="20" borderId="3" xfId="0" applyFont="1" applyFill="1" applyBorder="1" applyAlignment="1">
      <alignment horizontal="left" vertical="center"/>
    </xf>
    <xf numFmtId="0" fontId="31" fillId="20" borderId="5" xfId="0" applyFont="1" applyFill="1" applyBorder="1" applyAlignment="1">
      <alignment horizontal="center" vertical="center" wrapText="1"/>
    </xf>
    <xf numFmtId="0" fontId="21" fillId="20" borderId="5" xfId="0" applyFont="1" applyFill="1" applyBorder="1" applyAlignment="1">
      <alignment horizontal="center" vertical="center" wrapText="1"/>
    </xf>
    <xf numFmtId="0" fontId="21" fillId="20" borderId="5" xfId="0" applyFont="1" applyFill="1" applyBorder="1" applyAlignment="1">
      <alignment horizontal="left" vertical="center"/>
    </xf>
    <xf numFmtId="0" fontId="31" fillId="20" borderId="5" xfId="0" applyFont="1" applyFill="1" applyBorder="1" applyAlignment="1">
      <alignment horizontal="right" vertical="center" wrapText="1"/>
    </xf>
    <xf numFmtId="0" fontId="31" fillId="20" borderId="3" xfId="0" applyFont="1" applyFill="1" applyBorder="1" applyAlignment="1">
      <alignment horizontal="right" vertical="center" wrapText="1"/>
    </xf>
    <xf numFmtId="0" fontId="31" fillId="20" borderId="3"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3" fillId="6" borderId="27" xfId="4" applyFill="1" applyBorder="1" applyAlignment="1">
      <alignment vertical="center"/>
    </xf>
    <xf numFmtId="14" fontId="16" fillId="0" borderId="20" xfId="3" applyNumberFormat="1" applyFont="1" applyBorder="1" applyAlignment="1">
      <alignment horizontal="center" vertical="center" wrapText="1"/>
    </xf>
    <xf numFmtId="0" fontId="18" fillId="7" borderId="0" xfId="0" applyFont="1" applyFill="1" applyAlignment="1" applyProtection="1">
      <alignment vertical="center"/>
      <protection locked="0"/>
    </xf>
    <xf numFmtId="0" fontId="40" fillId="21" borderId="3" xfId="15" applyFont="1" applyFill="1" applyAlignment="1">
      <alignment vertical="center" wrapText="1"/>
      <protection locked="0"/>
    </xf>
    <xf numFmtId="0" fontId="3" fillId="2" borderId="0" xfId="8" applyFont="1" applyFill="1" applyAlignment="1" applyProtection="1">
      <alignment vertical="center"/>
      <protection locked="0"/>
    </xf>
    <xf numFmtId="0" fontId="20" fillId="7" borderId="1" xfId="0" applyFont="1" applyFill="1" applyBorder="1" applyAlignment="1" applyProtection="1">
      <alignment vertical="center"/>
      <protection locked="0"/>
    </xf>
    <xf numFmtId="0" fontId="18" fillId="7" borderId="1" xfId="0" applyFont="1" applyFill="1" applyBorder="1" applyAlignment="1" applyProtection="1">
      <alignment vertical="center"/>
      <protection locked="0"/>
    </xf>
    <xf numFmtId="0" fontId="5" fillId="2" borderId="0" xfId="0" applyFont="1" applyFill="1" applyAlignment="1">
      <alignment vertical="center"/>
    </xf>
    <xf numFmtId="0" fontId="11" fillId="2" borderId="3" xfId="15" applyFont="1" applyFill="1" applyAlignment="1">
      <alignment vertical="center" wrapText="1"/>
      <protection locked="0"/>
    </xf>
    <xf numFmtId="0" fontId="20" fillId="7" borderId="1" xfId="8" applyFont="1" applyFill="1" applyBorder="1" applyAlignment="1" applyProtection="1">
      <alignment vertical="center"/>
      <protection locked="0"/>
    </xf>
    <xf numFmtId="0" fontId="3" fillId="0" borderId="3" xfId="0" applyFont="1" applyBorder="1" applyAlignment="1">
      <alignment horizontal="left" vertical="center"/>
    </xf>
    <xf numFmtId="0" fontId="41" fillId="6" borderId="3" xfId="4" applyFont="1" applyFill="1" applyBorder="1" applyAlignment="1">
      <alignment vertical="center" wrapText="1"/>
    </xf>
    <xf numFmtId="0" fontId="5" fillId="2" borderId="0" xfId="0" applyFont="1" applyFill="1" applyAlignment="1">
      <alignment horizontal="center" vertical="center"/>
    </xf>
    <xf numFmtId="0" fontId="21" fillId="2" borderId="1" xfId="0" applyFont="1" applyFill="1" applyBorder="1" applyAlignment="1">
      <alignment horizontal="left" vertical="top"/>
    </xf>
    <xf numFmtId="0" fontId="2" fillId="0" borderId="3" xfId="2" applyBorder="1" applyAlignment="1">
      <alignment vertical="center" wrapText="1"/>
    </xf>
    <xf numFmtId="169" fontId="5" fillId="4" borderId="3" xfId="0" applyNumberFormat="1" applyFont="1" applyFill="1" applyBorder="1" applyAlignment="1">
      <alignment horizontal="right" vertical="center" wrapText="1"/>
    </xf>
    <xf numFmtId="10" fontId="29" fillId="4" borderId="3" xfId="1" applyNumberFormat="1" applyFont="1" applyFill="1" applyBorder="1" applyAlignment="1">
      <alignment horizontal="right" vertical="center" wrapText="1"/>
    </xf>
    <xf numFmtId="10" fontId="29" fillId="13" borderId="3" xfId="0" applyNumberFormat="1" applyFont="1" applyFill="1" applyBorder="1" applyAlignment="1">
      <alignment horizontal="right" vertical="center" wrapText="1"/>
    </xf>
    <xf numFmtId="0" fontId="30" fillId="12" borderId="1" xfId="0" applyFont="1" applyFill="1" applyBorder="1" applyAlignment="1">
      <alignment horizontal="left" vertical="center"/>
    </xf>
    <xf numFmtId="0" fontId="28" fillId="6" borderId="3" xfId="0" applyFont="1" applyFill="1" applyBorder="1" applyAlignment="1">
      <alignment horizontal="left" vertical="top" wrapText="1"/>
    </xf>
    <xf numFmtId="167" fontId="5" fillId="4" borderId="3" xfId="0" applyNumberFormat="1" applyFont="1" applyFill="1" applyBorder="1" applyAlignment="1">
      <alignment horizontal="right" vertical="center" wrapText="1"/>
    </xf>
    <xf numFmtId="167" fontId="29" fillId="13" borderId="3" xfId="0" applyNumberFormat="1" applyFont="1" applyFill="1" applyBorder="1" applyAlignment="1">
      <alignment horizontal="right" vertical="center" wrapText="1"/>
    </xf>
    <xf numFmtId="0" fontId="42" fillId="2" borderId="0" xfId="3" applyFont="1" applyFill="1" applyAlignment="1" applyProtection="1">
      <alignment horizontal="left" vertical="center"/>
      <protection locked="0" hidden="1"/>
    </xf>
    <xf numFmtId="0" fontId="5" fillId="2" borderId="0" xfId="3" applyFont="1" applyFill="1" applyAlignment="1" applyProtection="1">
      <alignment horizontal="left" vertical="center"/>
      <protection locked="0" hidden="1"/>
    </xf>
    <xf numFmtId="14" fontId="5" fillId="2" borderId="0" xfId="3" applyNumberFormat="1" applyFont="1" applyFill="1" applyAlignment="1" applyProtection="1">
      <alignment horizontal="left" vertical="center"/>
      <protection locked="0" hidden="1"/>
    </xf>
    <xf numFmtId="0" fontId="11" fillId="12" borderId="1" xfId="0" applyFont="1" applyFill="1" applyBorder="1" applyAlignment="1">
      <alignment vertical="center"/>
    </xf>
    <xf numFmtId="0" fontId="7" fillId="3" borderId="3" xfId="12" applyNumberFormat="1" applyFont="1" applyFill="1" applyBorder="1" applyAlignment="1">
      <alignment vertical="center" wrapText="1"/>
    </xf>
    <xf numFmtId="0" fontId="29" fillId="6" borderId="3" xfId="0" applyFont="1" applyFill="1" applyBorder="1" applyAlignment="1">
      <alignment vertical="center" wrapText="1"/>
    </xf>
    <xf numFmtId="176" fontId="7" fillId="3" borderId="3" xfId="12" applyNumberFormat="1" applyFont="1" applyFill="1" applyBorder="1" applyAlignment="1">
      <alignment vertical="center" wrapText="1"/>
    </xf>
    <xf numFmtId="2" fontId="7" fillId="3" borderId="3" xfId="12" applyNumberFormat="1" applyFont="1" applyFill="1" applyBorder="1" applyAlignment="1">
      <alignment vertical="center" wrapText="1"/>
    </xf>
    <xf numFmtId="167" fontId="7" fillId="3" borderId="3" xfId="12" applyNumberFormat="1" applyFont="1" applyFill="1" applyBorder="1" applyAlignment="1">
      <alignment horizontal="right" vertical="center" wrapText="1"/>
    </xf>
    <xf numFmtId="177" fontId="5" fillId="0" borderId="11" xfId="0" applyNumberFormat="1" applyFont="1" applyBorder="1" applyAlignment="1">
      <alignment vertical="center" wrapText="1"/>
    </xf>
    <xf numFmtId="0" fontId="3" fillId="6" borderId="14" xfId="3" applyFill="1" applyBorder="1" applyAlignment="1" applyProtection="1">
      <alignment horizontal="left" vertical="center" wrapText="1"/>
      <protection locked="0" hidden="1"/>
    </xf>
    <xf numFmtId="0" fontId="6" fillId="8" borderId="21" xfId="0" applyFont="1" applyFill="1" applyBorder="1" applyAlignment="1">
      <alignment horizontal="center" vertical="center" wrapText="1"/>
    </xf>
    <xf numFmtId="0" fontId="6" fillId="8" borderId="0" xfId="0" applyFont="1" applyFill="1" applyAlignment="1">
      <alignment horizontal="center" vertical="center" wrapText="1"/>
    </xf>
    <xf numFmtId="0" fontId="6" fillId="8" borderId="22" xfId="0" applyFont="1" applyFill="1"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27" fillId="8" borderId="21" xfId="0" applyFont="1" applyFill="1" applyBorder="1" applyAlignment="1">
      <alignment horizontal="center" vertical="center" wrapText="1"/>
    </xf>
    <xf numFmtId="0" fontId="27" fillId="8" borderId="0" xfId="0" applyFont="1" applyFill="1" applyAlignment="1">
      <alignment horizontal="center" vertical="center" wrapText="1"/>
    </xf>
    <xf numFmtId="0" fontId="6" fillId="8" borderId="23"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6" fillId="8" borderId="21" xfId="0" applyFont="1" applyFill="1" applyBorder="1" applyAlignment="1">
      <alignment horizontal="center" vertical="top" wrapText="1"/>
    </xf>
    <xf numFmtId="0" fontId="6" fillId="8" borderId="0" xfId="0" applyFont="1" applyFill="1" applyAlignment="1">
      <alignment horizontal="center" vertical="top" wrapText="1"/>
    </xf>
    <xf numFmtId="0" fontId="6" fillId="8" borderId="22" xfId="0" applyFont="1" applyFill="1" applyBorder="1" applyAlignment="1">
      <alignment horizontal="center" vertical="top" wrapText="1"/>
    </xf>
    <xf numFmtId="0" fontId="0" fillId="0" borderId="6" xfId="0" applyBorder="1" applyAlignment="1">
      <alignment horizontal="center" vertical="top" wrapText="1"/>
    </xf>
    <xf numFmtId="0" fontId="0" fillId="0" borderId="4" xfId="0" applyBorder="1" applyAlignment="1">
      <alignment horizontal="center" vertical="top" wrapText="1"/>
    </xf>
    <xf numFmtId="0" fontId="0" fillId="0" borderId="7" xfId="0" applyBorder="1" applyAlignment="1">
      <alignment horizontal="center" vertical="top" wrapText="1"/>
    </xf>
    <xf numFmtId="0" fontId="28" fillId="6" borderId="28" xfId="0" applyFont="1" applyFill="1" applyBorder="1" applyAlignment="1">
      <alignment horizontal="left" vertical="top" wrapText="1"/>
    </xf>
    <xf numFmtId="0" fontId="7" fillId="6" borderId="29" xfId="0" applyFont="1" applyFill="1" applyBorder="1" applyAlignment="1">
      <alignment horizontal="left" vertical="top" wrapText="1"/>
    </xf>
    <xf numFmtId="0" fontId="7" fillId="6" borderId="30" xfId="0" applyFont="1" applyFill="1" applyBorder="1" applyAlignment="1">
      <alignment horizontal="left" vertical="top" wrapText="1"/>
    </xf>
    <xf numFmtId="0" fontId="28" fillId="6" borderId="29" xfId="0" applyFont="1" applyFill="1" applyBorder="1" applyAlignment="1">
      <alignment horizontal="left" vertical="top" wrapText="1"/>
    </xf>
    <xf numFmtId="0" fontId="28" fillId="6" borderId="30" xfId="0" applyFont="1" applyFill="1" applyBorder="1" applyAlignment="1">
      <alignment horizontal="left" vertical="top" wrapText="1"/>
    </xf>
    <xf numFmtId="0" fontId="6" fillId="8" borderId="5"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28" xfId="0" applyFont="1" applyBorder="1" applyAlignment="1">
      <alignment horizontal="left" vertical="center" wrapText="1"/>
    </xf>
    <xf numFmtId="0" fontId="5" fillId="0" borderId="30" xfId="0" applyFont="1" applyBorder="1" applyAlignment="1">
      <alignment horizontal="left" vertical="center" wrapText="1"/>
    </xf>
    <xf numFmtId="0" fontId="20" fillId="2" borderId="1" xfId="3" applyFont="1" applyFill="1" applyBorder="1" applyAlignment="1" applyProtection="1">
      <alignment horizontal="left" vertical="center" wrapText="1"/>
      <protection locked="0" hidden="1"/>
    </xf>
    <xf numFmtId="0" fontId="19" fillId="2" borderId="15" xfId="3" applyFont="1" applyFill="1" applyBorder="1" applyAlignment="1" applyProtection="1">
      <alignment horizontal="left" vertical="center" wrapText="1"/>
      <protection locked="0" hidden="1"/>
    </xf>
    <xf numFmtId="0" fontId="19" fillId="2" borderId="14" xfId="3" applyFont="1" applyFill="1" applyBorder="1" applyAlignment="1" applyProtection="1">
      <alignment horizontal="left" vertical="center" wrapText="1"/>
      <protection locked="0" hidden="1"/>
    </xf>
    <xf numFmtId="0" fontId="19" fillId="2" borderId="16" xfId="3" applyFont="1" applyFill="1" applyBorder="1" applyAlignment="1" applyProtection="1">
      <alignment horizontal="left" vertical="center" wrapText="1"/>
      <protection locked="0" hidden="1"/>
    </xf>
    <xf numFmtId="0" fontId="18" fillId="2" borderId="18"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19" xfId="0" applyFont="1" applyFill="1" applyBorder="1" applyAlignment="1">
      <alignment horizontal="left" vertical="top" wrapText="1"/>
    </xf>
    <xf numFmtId="0" fontId="5" fillId="0" borderId="29" xfId="0" applyFont="1" applyBorder="1" applyAlignment="1">
      <alignment horizontal="left" vertical="center" wrapText="1"/>
    </xf>
    <xf numFmtId="0" fontId="14" fillId="0" borderId="20" xfId="3" applyFont="1" applyBorder="1" applyAlignment="1">
      <alignment horizontal="center" vertical="center" wrapText="1"/>
    </xf>
  </cellXfs>
  <cellStyles count="16">
    <cellStyle name="Comma" xfId="12" builtinId="3"/>
    <cellStyle name="Comment_text" xfId="15" xr:uid="{EDAC5942-C24D-45A3-91DD-CABAD6C29010}"/>
    <cellStyle name="Hyperlink" xfId="2" builtinId="8"/>
    <cellStyle name="NoData" xfId="13" xr:uid="{00000000-0005-0000-0000-000002000000}"/>
    <cellStyle name="NoData 2" xfId="14" xr:uid="{00000000-0005-0000-0000-000003000000}"/>
    <cellStyle name="Normal" xfId="0" builtinId="0"/>
    <cellStyle name="Normal 10 2" xfId="10" xr:uid="{00000000-0005-0000-0000-000004000000}"/>
    <cellStyle name="Normal 10 2 2" xfId="11" xr:uid="{00000000-0005-0000-0000-000005000000}"/>
    <cellStyle name="Normal 2" xfId="3" xr:uid="{00000000-0005-0000-0000-000006000000}"/>
    <cellStyle name="Normal 2 11" xfId="6" xr:uid="{00000000-0005-0000-0000-000007000000}"/>
    <cellStyle name="Normal 2 2 4" xfId="7" xr:uid="{00000000-0005-0000-0000-000008000000}"/>
    <cellStyle name="Normal_Book3" xfId="4" xr:uid="{00000000-0005-0000-0000-000009000000}"/>
    <cellStyle name="Normal_Emissions Barra do Riacho" xfId="8" xr:uid="{00000000-0005-0000-0000-00000A000000}"/>
    <cellStyle name="Normal_Guaíba Data Input Oct 4 2004" xfId="9" xr:uid="{00000000-0005-0000-0000-00000B000000}"/>
    <cellStyle name="Percent" xfId="1" builtinId="5"/>
    <cellStyle name="Separador de milhares 2" xfId="5" xr:uid="{00000000-0005-0000-0000-00000D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A72D4"/>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customXml" Target="../customXml/item1.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sharedStrings" Target="sharedStrings.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yintracomm-collab.ec.europa.eu/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trading%20comp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Worksheet%20in%20Master%20Version%20DCF%20&amp;%20LBO%20for%20Fordham%20v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Enel%20greenfield%20Jan-2016%20v36_Turkey%20WIN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NVDRI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Innovation%20Fund/Phase%202/Small%20Scale/SS%20Tools/Copy%20of%20Copy%20of%20BioGrace-I%20Excel%20tool%20-%20version%204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ncumbent%20Telco%20CSC%20(2Q%202002)%20v6_9-27-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c6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yintracomm-collab.ec.europa.eu/Users/a263005/OneDrive%20-%20Enel%20Spa/_Activities_Ongoing/2020-02-3SUN_BP/2020-05-19_Trend_prezzi_per_GRAP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py%20of%20SBS_Draft%2002.06.04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yintracomm-collab.ec.europa.eu/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MET-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yintracomm-collab.ec.europa.eu/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ur-lex.europa.eu/eli/reg_impl/2021/447" TargetMode="External"/><Relationship Id="rId7" Type="http://schemas.openxmlformats.org/officeDocument/2006/relationships/printerSettings" Target="../printerSettings/printerSettings6.bin"/><Relationship Id="rId2" Type="http://schemas.openxmlformats.org/officeDocument/2006/relationships/hyperlink" Target="https://eur-lex.europa.eu/eli/reg_impl/2021/447" TargetMode="External"/><Relationship Id="rId1" Type="http://schemas.openxmlformats.org/officeDocument/2006/relationships/hyperlink" Target="https://www.ipcc-nggip.iges.or.jp/public/2006gl/vol2.html" TargetMode="External"/><Relationship Id="rId6" Type="http://schemas.openxmlformats.org/officeDocument/2006/relationships/hyperlink" Target="https://energy.ec.europa.eu/data-and-analysis/energy-modelling/eu-reference-scenario-2020_en" TargetMode="External"/><Relationship Id="rId5" Type="http://schemas.openxmlformats.org/officeDocument/2006/relationships/hyperlink" Target="https://eur-lex.europa.eu/legal-content/EN/TXT/?uri=CELEX%3A32018R2066" TargetMode="External"/><Relationship Id="rId4" Type="http://schemas.openxmlformats.org/officeDocument/2006/relationships/hyperlink" Target="https://eur-lex.europa.eu/legal-content/EN/TXT/?uri=CELEX%3A32018R206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32"/>
  <sheetViews>
    <sheetView topLeftCell="A8" zoomScaleNormal="100" workbookViewId="0">
      <selection activeCell="B27" sqref="B27"/>
    </sheetView>
  </sheetViews>
  <sheetFormatPr defaultColWidth="9.26953125" defaultRowHeight="12.5" x14ac:dyDescent="0.25"/>
  <cols>
    <col min="1" max="1" width="32.453125" style="9" customWidth="1"/>
    <col min="2" max="2" width="112.7265625" style="9" customWidth="1"/>
    <col min="3" max="3" width="12" style="9" customWidth="1"/>
    <col min="4" max="16384" width="9.26953125" style="9"/>
  </cols>
  <sheetData>
    <row r="1" spans="1:27" ht="13" x14ac:dyDescent="0.25">
      <c r="A1" s="170" t="s">
        <v>894</v>
      </c>
      <c r="B1" s="4"/>
      <c r="AA1" s="9" t="s">
        <v>165</v>
      </c>
    </row>
    <row r="2" spans="1:27" s="152" customFormat="1" ht="13" x14ac:dyDescent="0.35">
      <c r="A2" s="167"/>
      <c r="B2" s="6"/>
    </row>
    <row r="3" spans="1:27" s="152" customFormat="1" ht="13" x14ac:dyDescent="0.35">
      <c r="A3" s="6" t="s">
        <v>805</v>
      </c>
      <c r="B3" s="168" t="s">
        <v>896</v>
      </c>
    </row>
    <row r="4" spans="1:27" s="152" customFormat="1" ht="13" x14ac:dyDescent="0.35">
      <c r="A4" s="6" t="s">
        <v>806</v>
      </c>
      <c r="B4" s="169">
        <v>45642</v>
      </c>
    </row>
    <row r="5" spans="1:27" s="152" customFormat="1" ht="13" x14ac:dyDescent="0.35">
      <c r="A5" s="167"/>
      <c r="B5" s="6"/>
    </row>
    <row r="6" spans="1:27" ht="13" x14ac:dyDescent="0.25">
      <c r="A6" s="64"/>
    </row>
    <row r="7" spans="1:27" ht="13" x14ac:dyDescent="0.25">
      <c r="A7" s="163" t="s">
        <v>803</v>
      </c>
      <c r="B7" s="4"/>
    </row>
    <row r="8" spans="1:27" ht="234" customHeight="1" x14ac:dyDescent="0.25">
      <c r="A8" s="177" t="s">
        <v>810</v>
      </c>
      <c r="B8" s="177"/>
    </row>
    <row r="9" spans="1:27" x14ac:dyDescent="0.25">
      <c r="A9" s="7"/>
      <c r="B9" s="7"/>
    </row>
    <row r="10" spans="1:27" ht="13" x14ac:dyDescent="0.25">
      <c r="A10" s="4" t="s">
        <v>45</v>
      </c>
      <c r="B10" s="5"/>
    </row>
    <row r="11" spans="1:27" ht="13" x14ac:dyDescent="0.25">
      <c r="A11" s="6"/>
      <c r="B11" s="7"/>
    </row>
    <row r="12" spans="1:27" x14ac:dyDescent="0.25">
      <c r="A12" s="8" t="s">
        <v>55</v>
      </c>
      <c r="B12" s="8"/>
    </row>
    <row r="13" spans="1:27" ht="13" thickBot="1" x14ac:dyDescent="0.3">
      <c r="A13" s="8"/>
      <c r="B13" s="8"/>
    </row>
    <row r="14" spans="1:27" ht="13.5" thickBot="1" x14ac:dyDescent="0.3">
      <c r="A14" s="11" t="s">
        <v>36</v>
      </c>
      <c r="B14" s="8"/>
    </row>
    <row r="15" spans="1:27" ht="13" thickBot="1" x14ac:dyDescent="0.3">
      <c r="A15" s="13" t="s">
        <v>37</v>
      </c>
      <c r="B15" s="8"/>
    </row>
    <row r="16" spans="1:27" ht="13" thickBot="1" x14ac:dyDescent="0.3">
      <c r="A16" s="16" t="s">
        <v>38</v>
      </c>
      <c r="B16" s="8"/>
    </row>
    <row r="17" spans="1:3" ht="13" thickBot="1" x14ac:dyDescent="0.3">
      <c r="A17" s="18" t="s">
        <v>39</v>
      </c>
      <c r="B17" s="8"/>
    </row>
    <row r="18" spans="1:3" ht="13" thickBot="1" x14ac:dyDescent="0.3">
      <c r="A18" s="19" t="s">
        <v>40</v>
      </c>
      <c r="B18" s="8"/>
    </row>
    <row r="19" spans="1:3" s="45" customFormat="1" ht="14.5" thickBot="1" x14ac:dyDescent="0.35">
      <c r="A19" s="78" t="s">
        <v>129</v>
      </c>
      <c r="B19" s="77"/>
    </row>
    <row r="20" spans="1:3" x14ac:dyDescent="0.25">
      <c r="A20" s="8"/>
      <c r="B20" s="8"/>
    </row>
    <row r="21" spans="1:3" ht="13" x14ac:dyDescent="0.25">
      <c r="A21" s="4" t="s">
        <v>51</v>
      </c>
      <c r="B21" s="5"/>
    </row>
    <row r="22" spans="1:3" ht="13" x14ac:dyDescent="0.25">
      <c r="A22" s="6"/>
      <c r="B22" s="7"/>
    </row>
    <row r="23" spans="1:3" ht="13" thickBot="1" x14ac:dyDescent="0.3">
      <c r="A23" s="7" t="s">
        <v>52</v>
      </c>
      <c r="B23" s="7"/>
    </row>
    <row r="24" spans="1:3" ht="24.75" customHeight="1" thickBot="1" x14ac:dyDescent="0.3">
      <c r="A24" s="116" t="s">
        <v>781</v>
      </c>
      <c r="B24" s="34" t="s">
        <v>54</v>
      </c>
    </row>
    <row r="25" spans="1:3" ht="27.75" customHeight="1" thickBot="1" x14ac:dyDescent="0.3">
      <c r="A25" s="116" t="s">
        <v>53</v>
      </c>
      <c r="B25" s="34" t="s">
        <v>782</v>
      </c>
    </row>
    <row r="26" spans="1:3" ht="28.5" customHeight="1" thickBot="1" x14ac:dyDescent="0.3">
      <c r="A26" s="116" t="s">
        <v>115</v>
      </c>
      <c r="B26" s="34" t="s">
        <v>783</v>
      </c>
    </row>
    <row r="27" spans="1:3" ht="28.5" customHeight="1" thickBot="1" x14ac:dyDescent="0.3">
      <c r="A27" s="116" t="s">
        <v>784</v>
      </c>
      <c r="B27" s="34" t="s">
        <v>67</v>
      </c>
    </row>
    <row r="28" spans="1:3" ht="25" customHeight="1" thickBot="1" x14ac:dyDescent="0.3">
      <c r="A28" s="116" t="s">
        <v>785</v>
      </c>
      <c r="B28" s="34" t="s">
        <v>68</v>
      </c>
    </row>
    <row r="29" spans="1:3" ht="25" customHeight="1" thickBot="1" x14ac:dyDescent="0.3">
      <c r="A29" s="116" t="s">
        <v>786</v>
      </c>
      <c r="B29" s="35" t="s">
        <v>329</v>
      </c>
      <c r="C29" s="33" t="s">
        <v>69</v>
      </c>
    </row>
    <row r="30" spans="1:3" ht="25" customHeight="1" thickBot="1" x14ac:dyDescent="0.3">
      <c r="A30" s="116" t="s">
        <v>88</v>
      </c>
      <c r="B30" s="34" t="s">
        <v>103</v>
      </c>
    </row>
    <row r="31" spans="1:3" ht="47.25" customHeight="1" thickBot="1" x14ac:dyDescent="0.3">
      <c r="A31" s="117" t="s">
        <v>130</v>
      </c>
      <c r="B31" s="117" t="s">
        <v>131</v>
      </c>
      <c r="C31" s="33" t="s">
        <v>69</v>
      </c>
    </row>
    <row r="32" spans="1:3" x14ac:dyDescent="0.25">
      <c r="B32" s="21"/>
    </row>
  </sheetData>
  <sheetProtection algorithmName="SHA-512" hashValue="vumGGYuU62kk/6WymNYDeXVf7gvHGqq2MT4bMv27ep9c6p8uOKimkxSRd8SVRynKJjo85ynoE2RYrTX1i0v+ww==" saltValue="+LtoZ/bsNUNUlcqosgHmew==" spinCount="100000" sheet="1" objects="1" scenarios="1" selectLockedCells="1" selectUnlockedCells="1"/>
  <mergeCells count="1">
    <mergeCell ref="A8:B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
  <sheetViews>
    <sheetView tabSelected="1" zoomScaleNormal="100" workbookViewId="0">
      <selection activeCell="C29" sqref="C29"/>
    </sheetView>
  </sheetViews>
  <sheetFormatPr defaultColWidth="9.26953125" defaultRowHeight="12.5" x14ac:dyDescent="0.25"/>
  <cols>
    <col min="1" max="1" width="25.7265625" style="9" bestFit="1" customWidth="1"/>
    <col min="2" max="2" width="27.7265625" style="9" customWidth="1"/>
    <col min="3" max="3" width="28.26953125" style="9" customWidth="1"/>
    <col min="4" max="5" width="25.7265625" style="9" customWidth="1"/>
    <col min="6" max="6" width="20.54296875" style="9" customWidth="1"/>
    <col min="7" max="7" width="24.453125" style="9" customWidth="1"/>
    <col min="8" max="16384" width="9.26953125" style="9"/>
  </cols>
  <sheetData>
    <row r="1" spans="1:10" s="45" customFormat="1" ht="14" x14ac:dyDescent="0.3">
      <c r="A1" s="150" t="s">
        <v>47</v>
      </c>
      <c r="B1" s="150"/>
      <c r="C1" s="150"/>
      <c r="D1" s="151"/>
      <c r="E1" s="151"/>
      <c r="F1" s="151"/>
      <c r="G1" s="151"/>
      <c r="H1" s="151"/>
      <c r="I1" s="151"/>
      <c r="J1" s="147"/>
    </row>
    <row r="2" spans="1:10" s="45" customFormat="1" ht="14.5" thickBot="1" x14ac:dyDescent="0.35">
      <c r="A2" s="147"/>
      <c r="B2" s="147"/>
      <c r="C2" s="147"/>
      <c r="D2" s="147"/>
      <c r="E2" s="147"/>
      <c r="F2" s="147"/>
      <c r="G2" s="147"/>
      <c r="H2" s="147"/>
      <c r="I2" s="147"/>
      <c r="J2" s="147"/>
    </row>
    <row r="3" spans="1:10" s="45" customFormat="1" ht="14.5" thickBot="1" x14ac:dyDescent="0.35">
      <c r="A3" s="75" t="s">
        <v>47</v>
      </c>
      <c r="B3" s="75"/>
      <c r="C3" s="75" t="s">
        <v>777</v>
      </c>
      <c r="D3" s="147"/>
      <c r="E3" s="147"/>
      <c r="F3" s="147"/>
      <c r="G3" s="147"/>
      <c r="H3" s="147"/>
      <c r="I3" s="147"/>
      <c r="J3" s="147"/>
    </row>
    <row r="4" spans="1:10" s="45" customFormat="1" ht="36.5" thickBot="1" x14ac:dyDescent="0.35">
      <c r="A4" s="50" t="s">
        <v>779</v>
      </c>
      <c r="B4" s="153" t="s">
        <v>792</v>
      </c>
      <c r="C4" s="148" t="s">
        <v>780</v>
      </c>
      <c r="D4" s="147"/>
      <c r="E4" s="147"/>
      <c r="F4" s="147"/>
      <c r="G4" s="147"/>
      <c r="H4" s="147"/>
      <c r="I4" s="147"/>
      <c r="J4" s="147"/>
    </row>
    <row r="5" spans="1:10" s="45" customFormat="1" ht="14.5" thickBot="1" x14ac:dyDescent="0.35">
      <c r="A5" s="50" t="s">
        <v>778</v>
      </c>
      <c r="B5" s="153" t="s">
        <v>895</v>
      </c>
      <c r="C5" s="148"/>
      <c r="D5" s="147"/>
      <c r="E5" s="147"/>
      <c r="F5" s="147"/>
      <c r="G5" s="147"/>
      <c r="H5" s="147"/>
      <c r="I5" s="147"/>
      <c r="J5" s="147"/>
    </row>
    <row r="6" spans="1:10" x14ac:dyDescent="0.25">
      <c r="A6" s="1"/>
      <c r="B6" s="1"/>
      <c r="C6" s="1"/>
      <c r="D6" s="1"/>
      <c r="E6" s="1"/>
      <c r="F6" s="1"/>
    </row>
    <row r="7" spans="1:10" ht="14" x14ac:dyDescent="0.25">
      <c r="A7" s="154" t="s">
        <v>41</v>
      </c>
      <c r="B7" s="3"/>
      <c r="C7" s="3"/>
      <c r="D7" s="2"/>
      <c r="E7" s="2"/>
      <c r="F7" s="2"/>
    </row>
    <row r="8" spans="1:10" ht="13" thickBot="1" x14ac:dyDescent="0.3">
      <c r="A8" s="2"/>
      <c r="B8" s="2"/>
      <c r="C8" s="2"/>
      <c r="D8" s="2"/>
      <c r="E8" s="2"/>
      <c r="F8" s="2"/>
    </row>
    <row r="9" spans="1:10" ht="13.5" thickBot="1" x14ac:dyDescent="0.3">
      <c r="A9" s="11" t="s">
        <v>47</v>
      </c>
      <c r="B9" s="11" t="s">
        <v>775</v>
      </c>
      <c r="C9" s="11" t="s">
        <v>43</v>
      </c>
      <c r="D9" s="2"/>
      <c r="E9" s="2"/>
      <c r="F9" s="2"/>
    </row>
    <row r="10" spans="1:10" ht="26.5" thickBot="1" x14ac:dyDescent="0.3">
      <c r="A10" s="155" t="s">
        <v>42</v>
      </c>
      <c r="B10" s="17">
        <v>2027</v>
      </c>
      <c r="C10" s="156" t="s">
        <v>801</v>
      </c>
      <c r="D10" s="149"/>
      <c r="E10" s="149"/>
      <c r="F10" s="136"/>
    </row>
    <row r="12" spans="1:10" ht="13" x14ac:dyDescent="0.25">
      <c r="A12" s="3" t="s">
        <v>768</v>
      </c>
      <c r="B12" s="3"/>
      <c r="C12" s="3"/>
      <c r="D12" s="3"/>
      <c r="E12" s="3"/>
    </row>
    <row r="13" spans="1:10" ht="15.5" x14ac:dyDescent="0.4">
      <c r="A13" s="9" t="s">
        <v>770</v>
      </c>
    </row>
    <row r="14" spans="1:10" ht="13" thickBot="1" x14ac:dyDescent="0.3"/>
    <row r="15" spans="1:10" ht="39.5" thickBot="1" x14ac:dyDescent="0.3">
      <c r="A15" s="121" t="s">
        <v>767</v>
      </c>
      <c r="B15" s="122" t="s">
        <v>1</v>
      </c>
      <c r="C15" s="121" t="s">
        <v>613</v>
      </c>
      <c r="D15" s="122" t="s">
        <v>2</v>
      </c>
      <c r="E15" s="121" t="s">
        <v>769</v>
      </c>
    </row>
    <row r="16" spans="1:10" ht="16" thickBot="1" x14ac:dyDescent="0.3">
      <c r="A16" s="15" t="s">
        <v>48</v>
      </c>
      <c r="B16" s="14" t="s">
        <v>1</v>
      </c>
      <c r="C16" s="123" t="s">
        <v>330</v>
      </c>
      <c r="D16" s="14" t="s">
        <v>2</v>
      </c>
      <c r="E16" s="123" t="s">
        <v>331</v>
      </c>
    </row>
    <row r="17" spans="1:7" ht="13" thickBot="1" x14ac:dyDescent="0.3">
      <c r="A17" s="83">
        <f>C17-E17</f>
        <v>12399415.015571712</v>
      </c>
      <c r="B17" s="14" t="s">
        <v>1</v>
      </c>
      <c r="C17" s="165">
        <f>'Reference emissions BATT'!AD7</f>
        <v>17930098.9999208</v>
      </c>
      <c r="D17" s="80" t="s">
        <v>2</v>
      </c>
      <c r="E17" s="83">
        <f>'Project emissions BATT'!AD7</f>
        <v>5530683.9843490887</v>
      </c>
    </row>
    <row r="19" spans="1:7" ht="13" x14ac:dyDescent="0.25">
      <c r="A19" s="3" t="s">
        <v>49</v>
      </c>
      <c r="B19" s="3"/>
      <c r="C19" s="3"/>
      <c r="D19" s="3"/>
      <c r="E19" s="3"/>
    </row>
    <row r="20" spans="1:7" ht="13" x14ac:dyDescent="0.3">
      <c r="A20" s="9" t="s">
        <v>210</v>
      </c>
    </row>
    <row r="21" spans="1:7" ht="13" thickBot="1" x14ac:dyDescent="0.3"/>
    <row r="22" spans="1:7" ht="26.5" thickBot="1" x14ac:dyDescent="0.3">
      <c r="A22" s="121" t="s">
        <v>612</v>
      </c>
      <c r="B22" s="122" t="s">
        <v>1</v>
      </c>
      <c r="C22" s="121" t="s">
        <v>767</v>
      </c>
      <c r="D22" s="122" t="s">
        <v>59</v>
      </c>
      <c r="E22" s="121" t="s">
        <v>613</v>
      </c>
    </row>
    <row r="23" spans="1:7" ht="16" thickBot="1" x14ac:dyDescent="0.3">
      <c r="A23" s="15" t="s">
        <v>50</v>
      </c>
      <c r="B23" s="14" t="s">
        <v>1</v>
      </c>
      <c r="C23" s="123" t="s">
        <v>48</v>
      </c>
      <c r="D23" s="14" t="s">
        <v>59</v>
      </c>
      <c r="E23" s="123" t="s">
        <v>330</v>
      </c>
    </row>
    <row r="24" spans="1:7" ht="14.5" thickBot="1" x14ac:dyDescent="0.3">
      <c r="A24" s="161">
        <f>IF(E24&gt;0,C24/E24,0)</f>
        <v>0.69154191594962644</v>
      </c>
      <c r="B24" s="14" t="s">
        <v>1</v>
      </c>
      <c r="C24" s="165">
        <f>A17</f>
        <v>12399415.015571712</v>
      </c>
      <c r="D24" s="14" t="s">
        <v>59</v>
      </c>
      <c r="E24" s="83">
        <f>C17</f>
        <v>17930098.9999208</v>
      </c>
    </row>
    <row r="26" spans="1:7" ht="13" x14ac:dyDescent="0.25">
      <c r="A26" s="3" t="s">
        <v>615</v>
      </c>
      <c r="B26" s="3"/>
      <c r="C26" s="3"/>
      <c r="D26" s="3"/>
      <c r="E26" s="3"/>
    </row>
    <row r="27" spans="1:7" x14ac:dyDescent="0.25">
      <c r="A27" s="9" t="s">
        <v>617</v>
      </c>
    </row>
    <row r="28" spans="1:7" ht="13" thickBot="1" x14ac:dyDescent="0.3"/>
    <row r="29" spans="1:7" ht="26.5" thickBot="1" x14ac:dyDescent="0.3">
      <c r="A29" s="120" t="s">
        <v>615</v>
      </c>
      <c r="B29" s="118" t="s">
        <v>1</v>
      </c>
      <c r="C29" s="119" t="s">
        <v>614</v>
      </c>
      <c r="D29" s="118" t="s">
        <v>59</v>
      </c>
      <c r="E29" s="119" t="s">
        <v>616</v>
      </c>
    </row>
    <row r="30" spans="1:7" ht="16" thickBot="1" x14ac:dyDescent="0.3">
      <c r="A30" s="15" t="s">
        <v>765</v>
      </c>
      <c r="B30" s="14" t="s">
        <v>1</v>
      </c>
      <c r="C30" s="123" t="s">
        <v>766</v>
      </c>
      <c r="D30" s="14" t="s">
        <v>59</v>
      </c>
      <c r="E30" s="123" t="s">
        <v>332</v>
      </c>
    </row>
    <row r="31" spans="1:7" ht="14.5" thickBot="1" x14ac:dyDescent="0.3">
      <c r="A31" s="161">
        <f>('Reference emissions BATT'!AD13-'Project emissions BATT'!AD19)/'Reference emissions BATT'!AD13</f>
        <v>0.29409285693612996</v>
      </c>
      <c r="B31" s="14" t="s">
        <v>1</v>
      </c>
      <c r="C31" s="160">
        <f xml:space="preserve"> 'Reference emissions BATT'!AD13-'Project emissions BATT'!AD19</f>
        <v>2114199.1913095182</v>
      </c>
      <c r="D31" s="14" t="s">
        <v>59</v>
      </c>
      <c r="E31" s="88">
        <f>+'Reference emissions BATT'!AD13</f>
        <v>7188883.1756586069</v>
      </c>
      <c r="F31" s="96"/>
      <c r="G31" s="134"/>
    </row>
    <row r="33" spans="1:5" ht="13" x14ac:dyDescent="0.25">
      <c r="A33" s="3" t="s">
        <v>776</v>
      </c>
      <c r="B33" s="3"/>
      <c r="C33" s="3"/>
      <c r="D33" s="3"/>
      <c r="E33" s="3"/>
    </row>
    <row r="34" spans="1:5" ht="13.5" thickBot="1" x14ac:dyDescent="0.3">
      <c r="B34" s="62"/>
      <c r="C34" s="62"/>
      <c r="D34" s="62"/>
      <c r="E34" s="62"/>
    </row>
    <row r="35" spans="1:5" ht="13.5" thickBot="1" x14ac:dyDescent="0.3">
      <c r="A35" s="10" t="s">
        <v>104</v>
      </c>
      <c r="B35" s="10" t="s">
        <v>5</v>
      </c>
      <c r="C35" s="10" t="s">
        <v>101</v>
      </c>
      <c r="D35" s="10" t="s">
        <v>4</v>
      </c>
      <c r="E35" s="10" t="s">
        <v>43</v>
      </c>
    </row>
    <row r="36" spans="1:5" s="152" customFormat="1" ht="50.5" thickBot="1" x14ac:dyDescent="0.4">
      <c r="A36" s="50" t="s">
        <v>787</v>
      </c>
      <c r="B36" s="50" t="s">
        <v>679</v>
      </c>
      <c r="C36" s="95">
        <f>IF('Project emissions BATT'!Q22&gt;0,'Project emissions BATT'!AD19/'Project emissions BATT'!Q22,0)</f>
        <v>66.772157688803802</v>
      </c>
      <c r="D36" s="50" t="s">
        <v>750</v>
      </c>
      <c r="E36" s="145" t="s">
        <v>814</v>
      </c>
    </row>
  </sheetData>
  <sheetProtection algorithmName="SHA-512" hashValue="tgfmhQp6fibVzikyfTud/q5ZcJEkOD9WBD7mGjR7+qzKfEbKjBcPempcB4Z+rOVk05PphQ/HbN1PaKWsXu/7ng==" saltValue="Tby/MPIAmVtP/2qG7ngz7g==" spinCount="100000" sheet="1" objects="1" scenarios="1"/>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15"/>
  <sheetViews>
    <sheetView topLeftCell="A3" zoomScaleNormal="100" workbookViewId="0">
      <selection activeCell="D17" sqref="D17"/>
    </sheetView>
  </sheetViews>
  <sheetFormatPr defaultColWidth="9.1796875" defaultRowHeight="14" x14ac:dyDescent="0.3"/>
  <cols>
    <col min="1" max="1" width="36.54296875" style="73" customWidth="1"/>
    <col min="2" max="12" width="15.54296875" style="73" customWidth="1"/>
    <col min="13" max="16384" width="9.1796875" style="73"/>
  </cols>
  <sheetData>
    <row r="1" spans="1:12" x14ac:dyDescent="0.3">
      <c r="A1" s="71" t="s">
        <v>115</v>
      </c>
      <c r="B1" s="72"/>
      <c r="C1" s="72"/>
      <c r="D1" s="72"/>
      <c r="E1" s="72"/>
      <c r="F1" s="72"/>
      <c r="G1" s="72"/>
      <c r="H1" s="72"/>
      <c r="I1" s="72"/>
      <c r="J1" s="72"/>
      <c r="K1" s="72"/>
      <c r="L1" s="72"/>
    </row>
    <row r="2" spans="1:12" ht="15.5" x14ac:dyDescent="0.4">
      <c r="A2" s="74" t="s">
        <v>751</v>
      </c>
    </row>
    <row r="3" spans="1:12" ht="14.5" x14ac:dyDescent="0.35">
      <c r="A3" s="74" t="s">
        <v>127</v>
      </c>
    </row>
    <row r="4" spans="1:12" ht="14.5" thickBot="1" x14ac:dyDescent="0.35"/>
    <row r="5" spans="1:12" ht="26.5" thickBot="1" x14ac:dyDescent="0.35">
      <c r="A5" s="121" t="s">
        <v>771</v>
      </c>
      <c r="B5" s="102" t="s">
        <v>128</v>
      </c>
      <c r="C5" s="102" t="s">
        <v>20</v>
      </c>
      <c r="D5" s="102" t="s">
        <v>21</v>
      </c>
      <c r="E5" s="102" t="s">
        <v>22</v>
      </c>
      <c r="F5" s="102" t="s">
        <v>23</v>
      </c>
      <c r="G5" s="102" t="s">
        <v>24</v>
      </c>
      <c r="H5" s="102" t="s">
        <v>25</v>
      </c>
      <c r="I5" s="102" t="s">
        <v>26</v>
      </c>
      <c r="J5" s="102" t="s">
        <v>27</v>
      </c>
      <c r="K5" s="102" t="s">
        <v>28</v>
      </c>
      <c r="L5" s="102" t="s">
        <v>29</v>
      </c>
    </row>
    <row r="6" spans="1:12" ht="38.15" customHeight="1" thickBot="1" x14ac:dyDescent="0.35">
      <c r="A6" s="76" t="s">
        <v>793</v>
      </c>
      <c r="B6" s="166">
        <f xml:space="preserve"> SUM(C6:L6)</f>
        <v>17930098.9999208</v>
      </c>
      <c r="C6" s="82">
        <f>'Reference emissions BATT'!T7</f>
        <v>943689.42104846321</v>
      </c>
      <c r="D6" s="82">
        <f>'Reference emissions BATT'!U7</f>
        <v>1887378.8420969264</v>
      </c>
      <c r="E6" s="82">
        <f>'Reference emissions BATT'!V7</f>
        <v>1887378.8420969264</v>
      </c>
      <c r="F6" s="82">
        <f>'Reference emissions BATT'!W7</f>
        <v>1887378.8420969264</v>
      </c>
      <c r="G6" s="82">
        <f>'Reference emissions BATT'!X7</f>
        <v>1887378.8420969264</v>
      </c>
      <c r="H6" s="82">
        <f>'Reference emissions BATT'!Y7</f>
        <v>1887378.8420969264</v>
      </c>
      <c r="I6" s="82">
        <f>'Reference emissions BATT'!Z7</f>
        <v>1887378.8420969264</v>
      </c>
      <c r="J6" s="82">
        <f>'Reference emissions BATT'!AA7</f>
        <v>1887378.8420969264</v>
      </c>
      <c r="K6" s="82">
        <f>'Reference emissions BATT'!AB7</f>
        <v>1887378.8420969264</v>
      </c>
      <c r="L6" s="82">
        <f>'Reference emissions BATT'!AC7</f>
        <v>1887378.8420969264</v>
      </c>
    </row>
    <row r="7" spans="1:12" ht="30.65" customHeight="1" thickBot="1" x14ac:dyDescent="0.35">
      <c r="A7" s="76" t="s">
        <v>794</v>
      </c>
      <c r="B7" s="166">
        <f xml:space="preserve"> SUM(C7:L7)</f>
        <v>5530683.9843490887</v>
      </c>
      <c r="C7" s="82">
        <f>'Project emissions BATT'!T7</f>
        <v>315485.2496466384</v>
      </c>
      <c r="D7" s="82">
        <f>'Project emissions BATT'!U7</f>
        <v>593691.77929327672</v>
      </c>
      <c r="E7" s="82">
        <f>'Project emissions BATT'!V7</f>
        <v>593691.77929327672</v>
      </c>
      <c r="F7" s="82">
        <f>'Project emissions BATT'!W7</f>
        <v>576123.77929327672</v>
      </c>
      <c r="G7" s="82">
        <f>'Project emissions BATT'!X7</f>
        <v>575402.16801655677</v>
      </c>
      <c r="H7" s="82">
        <f>'Project emissions BATT'!Y7</f>
        <v>575402.16801655677</v>
      </c>
      <c r="I7" s="82">
        <f>'Project emissions BATT'!Z7</f>
        <v>575402.16801655677</v>
      </c>
      <c r="J7" s="82">
        <f>'Project emissions BATT'!AA7</f>
        <v>575402.16801655677</v>
      </c>
      <c r="K7" s="82">
        <f>'Project emissions BATT'!AB7</f>
        <v>575402.16801655677</v>
      </c>
      <c r="L7" s="82">
        <f>'Project emissions BATT'!AC7</f>
        <v>574680.5567398367</v>
      </c>
    </row>
    <row r="8" spans="1:12" ht="16.5" thickBot="1" x14ac:dyDescent="0.35">
      <c r="A8" s="76" t="s">
        <v>795</v>
      </c>
      <c r="B8" s="166">
        <f xml:space="preserve"> B6-B7</f>
        <v>12399415.015571712</v>
      </c>
      <c r="C8" s="166">
        <f xml:space="preserve"> C6-C7</f>
        <v>628204.1714018248</v>
      </c>
      <c r="D8" s="166">
        <f t="shared" ref="D8:L8" si="0" xml:space="preserve"> D6-D7</f>
        <v>1293687.0628036498</v>
      </c>
      <c r="E8" s="166">
        <f t="shared" si="0"/>
        <v>1293687.0628036498</v>
      </c>
      <c r="F8" s="166">
        <f t="shared" si="0"/>
        <v>1311255.0628036498</v>
      </c>
      <c r="G8" s="166">
        <f t="shared" si="0"/>
        <v>1311976.6740803695</v>
      </c>
      <c r="H8" s="166">
        <f t="shared" si="0"/>
        <v>1311976.6740803695</v>
      </c>
      <c r="I8" s="166">
        <f t="shared" si="0"/>
        <v>1311976.6740803695</v>
      </c>
      <c r="J8" s="166">
        <f t="shared" si="0"/>
        <v>1311976.6740803695</v>
      </c>
      <c r="K8" s="166">
        <f t="shared" si="0"/>
        <v>1311976.6740803695</v>
      </c>
      <c r="L8" s="166">
        <f t="shared" si="0"/>
        <v>1312698.2853570897</v>
      </c>
    </row>
    <row r="9" spans="1:12" ht="16.5" thickBot="1" x14ac:dyDescent="0.35">
      <c r="A9" s="76" t="s">
        <v>796</v>
      </c>
      <c r="B9" s="162">
        <f xml:space="preserve"> IF(B6=0,"-",B8/B6)</f>
        <v>0.69154191594962644</v>
      </c>
      <c r="C9" s="162">
        <f xml:space="preserve"> IF(C6=0,"-",C8/C6)</f>
        <v>0.66568953449099155</v>
      </c>
      <c r="D9" s="162">
        <f t="shared" ref="D9:L9" si="1" xml:space="preserve"> IF(D6=0,"-",D8/D6)</f>
        <v>0.68544111756934301</v>
      </c>
      <c r="E9" s="162">
        <f t="shared" si="1"/>
        <v>0.68544111756934301</v>
      </c>
      <c r="F9" s="162">
        <f t="shared" si="1"/>
        <v>0.69474926472462295</v>
      </c>
      <c r="G9" s="162">
        <f t="shared" si="1"/>
        <v>0.69513159987675277</v>
      </c>
      <c r="H9" s="162">
        <f t="shared" si="1"/>
        <v>0.69513159987675277</v>
      </c>
      <c r="I9" s="162">
        <f t="shared" si="1"/>
        <v>0.69513159987675277</v>
      </c>
      <c r="J9" s="162">
        <f t="shared" si="1"/>
        <v>0.69513159987675277</v>
      </c>
      <c r="K9" s="162">
        <f t="shared" si="1"/>
        <v>0.69513159987675277</v>
      </c>
      <c r="L9" s="162">
        <f t="shared" si="1"/>
        <v>0.69551393502888281</v>
      </c>
    </row>
    <row r="10" spans="1:12" ht="14.5" thickBot="1" x14ac:dyDescent="0.35"/>
    <row r="11" spans="1:12" ht="14.5" thickBot="1" x14ac:dyDescent="0.35">
      <c r="A11" s="119" t="s">
        <v>633</v>
      </c>
      <c r="B11" s="108" t="s">
        <v>128</v>
      </c>
      <c r="C11" s="108" t="s">
        <v>20</v>
      </c>
      <c r="D11" s="108" t="s">
        <v>21</v>
      </c>
      <c r="E11" s="108" t="s">
        <v>22</v>
      </c>
      <c r="F11" s="108" t="s">
        <v>23</v>
      </c>
      <c r="G11" s="108" t="s">
        <v>24</v>
      </c>
      <c r="H11" s="108" t="s">
        <v>25</v>
      </c>
      <c r="I11" s="108" t="s">
        <v>26</v>
      </c>
      <c r="J11" s="108" t="s">
        <v>27</v>
      </c>
      <c r="K11" s="108" t="s">
        <v>28</v>
      </c>
      <c r="L11" s="108" t="s">
        <v>29</v>
      </c>
    </row>
    <row r="12" spans="1:12" ht="38.15" customHeight="1" thickBot="1" x14ac:dyDescent="0.35">
      <c r="A12" s="76" t="s">
        <v>797</v>
      </c>
      <c r="B12" s="166">
        <f xml:space="preserve"> SUM(C12:L12)</f>
        <v>7188883.1756586069</v>
      </c>
      <c r="C12" s="82">
        <f>'Reference emissions BATT'!T13</f>
        <v>380140.21937980084</v>
      </c>
      <c r="D12" s="82">
        <f>'Reference emissions BATT'!U13</f>
        <v>760280.43875960167</v>
      </c>
      <c r="E12" s="82">
        <f>'Reference emissions BATT'!V13</f>
        <v>760280.43875960167</v>
      </c>
      <c r="F12" s="82">
        <f>'Reference emissions BATT'!W13</f>
        <v>760280.43875960167</v>
      </c>
      <c r="G12" s="82">
        <f>'Reference emissions BATT'!X13</f>
        <v>755453.58560455195</v>
      </c>
      <c r="H12" s="82">
        <f>'Reference emissions BATT'!Y13</f>
        <v>755453.58560455195</v>
      </c>
      <c r="I12" s="82">
        <f>'Reference emissions BATT'!Z13</f>
        <v>755453.58560455195</v>
      </c>
      <c r="J12" s="82">
        <f>'Reference emissions BATT'!AA13</f>
        <v>755453.58560455195</v>
      </c>
      <c r="K12" s="82">
        <f>'Reference emissions BATT'!AB13</f>
        <v>755453.58560455195</v>
      </c>
      <c r="L12" s="82">
        <f>'Reference emissions BATT'!AC13</f>
        <v>750633.7119772404</v>
      </c>
    </row>
    <row r="13" spans="1:12" ht="30.65" customHeight="1" thickBot="1" x14ac:dyDescent="0.35">
      <c r="A13" s="76" t="s">
        <v>798</v>
      </c>
      <c r="B13" s="166">
        <f xml:space="preserve"> SUM(C13:L13)</f>
        <v>5074683.9843490887</v>
      </c>
      <c r="C13" s="82">
        <f>'Project emissions BATT'!T19</f>
        <v>291485.2496466384</v>
      </c>
      <c r="D13" s="82">
        <f>'Project emissions BATT'!U19</f>
        <v>545691.77929327672</v>
      </c>
      <c r="E13" s="82">
        <f>'Project emissions BATT'!V19</f>
        <v>545691.77929327672</v>
      </c>
      <c r="F13" s="82">
        <f>'Project emissions BATT'!W19</f>
        <v>528123.77929327672</v>
      </c>
      <c r="G13" s="82">
        <f>'Project emissions BATT'!X19</f>
        <v>527402.16801655677</v>
      </c>
      <c r="H13" s="82">
        <f>'Project emissions BATT'!Y19</f>
        <v>527402.16801655677</v>
      </c>
      <c r="I13" s="82">
        <f>'Project emissions BATT'!Z19</f>
        <v>527402.16801655677</v>
      </c>
      <c r="J13" s="82">
        <f>'Project emissions BATT'!AA19</f>
        <v>527402.16801655677</v>
      </c>
      <c r="K13" s="82">
        <f>'Project emissions BATT'!AB19</f>
        <v>527402.16801655677</v>
      </c>
      <c r="L13" s="82">
        <f>'Project emissions BATT'!AC19</f>
        <v>526680.5567398367</v>
      </c>
    </row>
    <row r="14" spans="1:12" ht="16.5" thickBot="1" x14ac:dyDescent="0.35">
      <c r="A14" s="76" t="s">
        <v>799</v>
      </c>
      <c r="B14" s="166">
        <f xml:space="preserve"> B12-B13</f>
        <v>2114199.1913095182</v>
      </c>
      <c r="C14" s="166">
        <f xml:space="preserve"> C12-C13</f>
        <v>88654.969733162434</v>
      </c>
      <c r="D14" s="166">
        <f t="shared" ref="D14:L14" si="2" xml:space="preserve"> D12-D13</f>
        <v>214588.65946632496</v>
      </c>
      <c r="E14" s="166">
        <f t="shared" si="2"/>
        <v>214588.65946632496</v>
      </c>
      <c r="F14" s="166">
        <f t="shared" si="2"/>
        <v>232156.65946632496</v>
      </c>
      <c r="G14" s="166">
        <f t="shared" si="2"/>
        <v>228051.41758799518</v>
      </c>
      <c r="H14" s="166">
        <f t="shared" si="2"/>
        <v>228051.41758799518</v>
      </c>
      <c r="I14" s="166">
        <f t="shared" si="2"/>
        <v>228051.41758799518</v>
      </c>
      <c r="J14" s="166">
        <f t="shared" si="2"/>
        <v>228051.41758799518</v>
      </c>
      <c r="K14" s="166">
        <f t="shared" si="2"/>
        <v>228051.41758799518</v>
      </c>
      <c r="L14" s="166">
        <f t="shared" si="2"/>
        <v>223953.1552374037</v>
      </c>
    </row>
    <row r="15" spans="1:12" ht="16.5" thickBot="1" x14ac:dyDescent="0.35">
      <c r="A15" s="76" t="s">
        <v>800</v>
      </c>
      <c r="B15" s="162">
        <f xml:space="preserve"> IF(B12=0,"-",B14/B12)</f>
        <v>0.29409285693612996</v>
      </c>
      <c r="C15" s="162">
        <f xml:space="preserve"> IF(C12=0,"-",C14/C12)</f>
        <v>0.23321649542319703</v>
      </c>
      <c r="D15" s="162">
        <f t="shared" ref="D15:L15" si="3" xml:space="preserve"> IF(D12=0,"-",D14/D12)</f>
        <v>0.28224934974839888</v>
      </c>
      <c r="E15" s="162">
        <f t="shared" si="3"/>
        <v>0.28224934974839888</v>
      </c>
      <c r="F15" s="162">
        <f t="shared" si="3"/>
        <v>0.30535661267977482</v>
      </c>
      <c r="G15" s="162">
        <f t="shared" si="3"/>
        <v>0.30187349948904796</v>
      </c>
      <c r="H15" s="162">
        <f t="shared" si="3"/>
        <v>0.30187349948904796</v>
      </c>
      <c r="I15" s="162">
        <f t="shared" si="3"/>
        <v>0.30187349948904796</v>
      </c>
      <c r="J15" s="162">
        <f t="shared" si="3"/>
        <v>0.30187349948904796</v>
      </c>
      <c r="K15" s="162">
        <f t="shared" si="3"/>
        <v>0.30187349948904796</v>
      </c>
      <c r="L15" s="162">
        <f t="shared" si="3"/>
        <v>0.2983521145719526</v>
      </c>
    </row>
  </sheetData>
  <sheetProtection algorithmName="SHA-512" hashValue="QhnpDFee/a6RtdM07NJr8FIRGCLtW5LEJji0mIypIWb4ssuhncFP09dpTnDDOzTzYGpq7p5CsWUdvx9b+iA7NQ==" saltValue="bLuek8rU+qCjivdYtIFmk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K93"/>
  <sheetViews>
    <sheetView zoomScale="70" zoomScaleNormal="70" workbookViewId="0">
      <pane ySplit="5" topLeftCell="A36" activePane="bottomLeft" state="frozen"/>
      <selection pane="bottomLeft" activeCell="G10" sqref="G10"/>
    </sheetView>
  </sheetViews>
  <sheetFormatPr defaultColWidth="9.26953125" defaultRowHeight="12.5" x14ac:dyDescent="0.35"/>
  <cols>
    <col min="1" max="1" width="13.81640625" style="25" bestFit="1" customWidth="1"/>
    <col min="2" max="2" width="14.453125" style="25" bestFit="1" customWidth="1"/>
    <col min="3" max="3" width="11.7265625" style="25" customWidth="1"/>
    <col min="4" max="4" width="34.26953125" style="25" customWidth="1"/>
    <col min="5" max="5" width="12.26953125" style="25" bestFit="1" customWidth="1"/>
    <col min="6" max="6" width="8.54296875" style="25" customWidth="1"/>
    <col min="7" max="16" width="12.1796875" style="25" customWidth="1"/>
    <col min="17" max="17" width="10.81640625" style="25" customWidth="1"/>
    <col min="18" max="18" width="12.1796875" style="25" customWidth="1"/>
    <col min="19" max="19" width="12.453125" style="25" customWidth="1"/>
    <col min="20" max="30" width="17.81640625" style="25" customWidth="1"/>
    <col min="31" max="37" width="18.7265625" style="25" customWidth="1"/>
    <col min="38" max="16384" width="9.26953125" style="25"/>
  </cols>
  <sheetData>
    <row r="1" spans="1:37" ht="14" x14ac:dyDescent="0.35">
      <c r="A1" s="158" t="s">
        <v>788</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7" ht="13.5" thickBot="1" x14ac:dyDescent="0.4">
      <c r="A2" s="70"/>
    </row>
    <row r="3" spans="1:37" s="157" customFormat="1" ht="26.25" customHeight="1" x14ac:dyDescent="0.35">
      <c r="A3" s="178" t="s">
        <v>752</v>
      </c>
      <c r="B3" s="179"/>
      <c r="C3" s="179"/>
      <c r="D3" s="179"/>
      <c r="E3" s="179"/>
      <c r="F3" s="179"/>
      <c r="G3" s="179"/>
      <c r="H3" s="179"/>
      <c r="I3" s="179"/>
      <c r="J3" s="179"/>
      <c r="K3" s="179"/>
      <c r="L3" s="179"/>
      <c r="M3" s="179"/>
      <c r="N3" s="179"/>
      <c r="O3" s="179"/>
      <c r="P3" s="179"/>
      <c r="Q3" s="179"/>
      <c r="R3" s="180"/>
      <c r="S3" s="186" t="s">
        <v>35</v>
      </c>
      <c r="T3" s="187"/>
      <c r="U3" s="187"/>
      <c r="V3" s="187"/>
      <c r="W3" s="187"/>
      <c r="X3" s="187"/>
      <c r="Y3" s="187"/>
      <c r="Z3" s="187"/>
      <c r="AA3" s="187"/>
      <c r="AB3" s="187"/>
      <c r="AC3" s="187"/>
      <c r="AD3" s="188"/>
      <c r="AE3" s="179" t="s">
        <v>32</v>
      </c>
      <c r="AF3" s="179"/>
      <c r="AG3" s="179"/>
      <c r="AH3" s="179"/>
      <c r="AI3" s="179"/>
      <c r="AJ3" s="179"/>
      <c r="AK3" s="179"/>
    </row>
    <row r="4" spans="1:37" s="157" customFormat="1" ht="34.5" customHeight="1" thickBot="1" x14ac:dyDescent="0.4">
      <c r="A4" s="181"/>
      <c r="B4" s="182"/>
      <c r="C4" s="182"/>
      <c r="D4" s="182"/>
      <c r="E4" s="182"/>
      <c r="F4" s="182"/>
      <c r="G4" s="182"/>
      <c r="H4" s="182"/>
      <c r="I4" s="182"/>
      <c r="J4" s="182"/>
      <c r="K4" s="182"/>
      <c r="L4" s="182"/>
      <c r="M4" s="182"/>
      <c r="N4" s="182"/>
      <c r="O4" s="182"/>
      <c r="P4" s="182"/>
      <c r="Q4" s="182"/>
      <c r="R4" s="183"/>
      <c r="S4" s="189"/>
      <c r="T4" s="190"/>
      <c r="U4" s="190"/>
      <c r="V4" s="190"/>
      <c r="W4" s="190"/>
      <c r="X4" s="190"/>
      <c r="Y4" s="190"/>
      <c r="Z4" s="190"/>
      <c r="AA4" s="190"/>
      <c r="AB4" s="190"/>
      <c r="AC4" s="190"/>
      <c r="AD4" s="191"/>
      <c r="AE4" s="184" t="s">
        <v>111</v>
      </c>
      <c r="AF4" s="185"/>
      <c r="AG4" s="185"/>
      <c r="AH4" s="185"/>
      <c r="AI4" s="185"/>
      <c r="AJ4" s="185"/>
      <c r="AK4" s="185"/>
    </row>
    <row r="5" spans="1:37" s="31" customFormat="1" ht="33" customHeight="1" thickBot="1" x14ac:dyDescent="0.4">
      <c r="A5" s="32" t="s">
        <v>0</v>
      </c>
      <c r="B5" s="32" t="s">
        <v>58</v>
      </c>
      <c r="C5" s="32" t="s">
        <v>57</v>
      </c>
      <c r="D5" s="32" t="s">
        <v>5</v>
      </c>
      <c r="E5" s="32" t="s">
        <v>82</v>
      </c>
      <c r="F5" s="32" t="s">
        <v>19</v>
      </c>
      <c r="G5" s="32" t="s">
        <v>20</v>
      </c>
      <c r="H5" s="32" t="s">
        <v>21</v>
      </c>
      <c r="I5" s="32" t="s">
        <v>22</v>
      </c>
      <c r="J5" s="32" t="s">
        <v>23</v>
      </c>
      <c r="K5" s="32" t="s">
        <v>24</v>
      </c>
      <c r="L5" s="32" t="s">
        <v>25</v>
      </c>
      <c r="M5" s="32" t="s">
        <v>26</v>
      </c>
      <c r="N5" s="32" t="s">
        <v>27</v>
      </c>
      <c r="O5" s="32" t="s">
        <v>28</v>
      </c>
      <c r="P5" s="32" t="s">
        <v>29</v>
      </c>
      <c r="Q5" s="32" t="s">
        <v>116</v>
      </c>
      <c r="R5" s="32" t="s">
        <v>30</v>
      </c>
      <c r="S5" s="32" t="s">
        <v>56</v>
      </c>
      <c r="T5" s="11" t="s">
        <v>117</v>
      </c>
      <c r="U5" s="11" t="s">
        <v>118</v>
      </c>
      <c r="V5" s="11" t="s">
        <v>119</v>
      </c>
      <c r="W5" s="11" t="s">
        <v>120</v>
      </c>
      <c r="X5" s="11" t="s">
        <v>121</v>
      </c>
      <c r="Y5" s="11" t="s">
        <v>122</v>
      </c>
      <c r="Z5" s="11" t="s">
        <v>123</v>
      </c>
      <c r="AA5" s="11" t="s">
        <v>124</v>
      </c>
      <c r="AB5" s="11" t="s">
        <v>125</v>
      </c>
      <c r="AC5" s="11" t="s">
        <v>126</v>
      </c>
      <c r="AD5" s="11" t="s">
        <v>31</v>
      </c>
      <c r="AE5" s="11" t="s">
        <v>112</v>
      </c>
      <c r="AF5" s="11" t="s">
        <v>34</v>
      </c>
      <c r="AG5" s="11" t="s">
        <v>99</v>
      </c>
      <c r="AH5" s="11" t="s">
        <v>74</v>
      </c>
      <c r="AI5" s="11" t="s">
        <v>75</v>
      </c>
      <c r="AJ5" s="11" t="s">
        <v>100</v>
      </c>
      <c r="AK5" s="11" t="s">
        <v>44</v>
      </c>
    </row>
    <row r="6" spans="1:37" ht="24.65" customHeight="1" thickBot="1" x14ac:dyDescent="0.4">
      <c r="A6" s="98" t="s">
        <v>772</v>
      </c>
      <c r="B6" s="99"/>
      <c r="C6" s="99"/>
      <c r="D6" s="99"/>
      <c r="E6" s="99"/>
      <c r="F6" s="99"/>
      <c r="G6" s="99"/>
      <c r="H6" s="99"/>
      <c r="I6" s="99"/>
      <c r="J6" s="99"/>
      <c r="K6" s="99"/>
      <c r="L6" s="99"/>
      <c r="M6" s="99"/>
      <c r="N6" s="99"/>
      <c r="O6" s="99"/>
      <c r="P6" s="99"/>
      <c r="Q6" s="99"/>
      <c r="R6" s="99"/>
      <c r="S6" s="100"/>
      <c r="T6" s="101"/>
      <c r="U6" s="101"/>
      <c r="V6" s="101"/>
      <c r="W6" s="101"/>
      <c r="X6" s="101"/>
      <c r="Y6" s="101"/>
      <c r="Z6" s="101"/>
      <c r="AA6" s="101"/>
      <c r="AB6" s="101"/>
      <c r="AC6" s="101"/>
      <c r="AD6" s="102"/>
      <c r="AE6" s="102"/>
      <c r="AF6" s="102"/>
      <c r="AG6" s="99"/>
      <c r="AH6" s="99"/>
      <c r="AI6" s="102"/>
      <c r="AJ6" s="99"/>
      <c r="AK6" s="99"/>
    </row>
    <row r="7" spans="1:37" ht="38.5" customHeight="1" thickBot="1" x14ac:dyDescent="0.4">
      <c r="A7" s="67" t="s">
        <v>328</v>
      </c>
      <c r="B7" s="79"/>
      <c r="C7" s="79"/>
      <c r="D7" s="79"/>
      <c r="E7" s="79"/>
      <c r="F7" s="79"/>
      <c r="G7" s="79"/>
      <c r="H7" s="79"/>
      <c r="I7" s="79"/>
      <c r="J7" s="79"/>
      <c r="K7" s="79"/>
      <c r="L7" s="79"/>
      <c r="M7" s="79"/>
      <c r="N7" s="79"/>
      <c r="O7" s="79"/>
      <c r="P7" s="79"/>
      <c r="Q7" s="79"/>
      <c r="R7" s="164" t="s">
        <v>815</v>
      </c>
      <c r="S7" s="85"/>
      <c r="T7" s="82">
        <f t="shared" ref="T7:AC7" si="0">T10</f>
        <v>943689.42104846321</v>
      </c>
      <c r="U7" s="82">
        <f t="shared" si="0"/>
        <v>1887378.8420969264</v>
      </c>
      <c r="V7" s="82">
        <f t="shared" si="0"/>
        <v>1887378.8420969264</v>
      </c>
      <c r="W7" s="82">
        <f t="shared" si="0"/>
        <v>1887378.8420969264</v>
      </c>
      <c r="X7" s="82">
        <f t="shared" si="0"/>
        <v>1887378.8420969264</v>
      </c>
      <c r="Y7" s="82">
        <f t="shared" si="0"/>
        <v>1887378.8420969264</v>
      </c>
      <c r="Z7" s="82">
        <f t="shared" si="0"/>
        <v>1887378.8420969264</v>
      </c>
      <c r="AA7" s="82">
        <f t="shared" si="0"/>
        <v>1887378.8420969264</v>
      </c>
      <c r="AB7" s="82">
        <f t="shared" si="0"/>
        <v>1887378.8420969264</v>
      </c>
      <c r="AC7" s="82">
        <f t="shared" si="0"/>
        <v>1887378.8420969264</v>
      </c>
      <c r="AD7" s="82">
        <f>SUM(T7:AC7)</f>
        <v>17930098.9999208</v>
      </c>
      <c r="AE7" s="68"/>
      <c r="AF7" s="68"/>
      <c r="AG7" s="68"/>
      <c r="AH7" s="68"/>
      <c r="AI7" s="68"/>
      <c r="AJ7" s="68"/>
      <c r="AK7" s="68"/>
    </row>
    <row r="8" spans="1:37" ht="13" thickBot="1" x14ac:dyDescent="0.4"/>
    <row r="9" spans="1:37" ht="26.15" customHeight="1" thickBot="1" x14ac:dyDescent="0.4">
      <c r="A9" s="137" t="s">
        <v>636</v>
      </c>
      <c r="B9" s="138"/>
      <c r="C9" s="138"/>
      <c r="D9" s="138"/>
      <c r="E9" s="138"/>
      <c r="F9" s="138"/>
      <c r="G9" s="139"/>
      <c r="H9" s="140"/>
      <c r="I9" s="138"/>
      <c r="J9" s="138"/>
      <c r="K9" s="138"/>
      <c r="L9" s="138"/>
      <c r="M9" s="138"/>
      <c r="N9" s="138"/>
      <c r="O9" s="138"/>
      <c r="P9" s="138"/>
      <c r="Q9" s="138"/>
      <c r="R9" s="138"/>
      <c r="S9" s="141"/>
      <c r="T9" s="142"/>
      <c r="U9" s="142"/>
      <c r="V9" s="142"/>
      <c r="W9" s="142"/>
      <c r="X9" s="142"/>
      <c r="Y9" s="142"/>
      <c r="Z9" s="142"/>
      <c r="AA9" s="142"/>
      <c r="AB9" s="142"/>
      <c r="AC9" s="142"/>
      <c r="AD9" s="142"/>
      <c r="AE9" s="142"/>
      <c r="AF9" s="142"/>
      <c r="AG9" s="142"/>
      <c r="AH9" s="143"/>
      <c r="AI9" s="143"/>
      <c r="AJ9" s="138"/>
      <c r="AK9" s="138"/>
    </row>
    <row r="10" spans="1:37" ht="31" customHeight="1" thickBot="1" x14ac:dyDescent="0.4">
      <c r="A10" s="23" t="s">
        <v>742</v>
      </c>
      <c r="B10" s="23" t="s">
        <v>742</v>
      </c>
      <c r="C10" s="23"/>
      <c r="D10" s="22" t="s">
        <v>164</v>
      </c>
      <c r="E10" s="23" t="s">
        <v>108</v>
      </c>
      <c r="F10" s="26" t="s">
        <v>76</v>
      </c>
      <c r="G10" s="92">
        <f>10*(G16*1000/'Conversion factors BATT'!$B$19)*'Conversion factors BATT'!$B22*'Conversion factors BATT'!$B20*'Conversion factors BATT'!$B21*'Conversion factors BATT'!$B17</f>
        <v>11737.430610055511</v>
      </c>
      <c r="H10" s="92">
        <f>10*(H16*1000/'Conversion factors BATT'!$B$19)*'Conversion factors BATT'!$B22*'Conversion factors BATT'!$B20*'Conversion factors BATT'!$B21*'Conversion factors BATT'!$B17</f>
        <v>23474.861220111023</v>
      </c>
      <c r="I10" s="92">
        <f>10*(I16*1000/'Conversion factors BATT'!$B$19)*'Conversion factors BATT'!$B22*'Conversion factors BATT'!$B20*'Conversion factors BATT'!$B21*'Conversion factors BATT'!$B17</f>
        <v>23474.861220111023</v>
      </c>
      <c r="J10" s="92">
        <f>10*(J16*1000/'Conversion factors BATT'!$B$19)*'Conversion factors BATT'!$B22*'Conversion factors BATT'!$B20*'Conversion factors BATT'!$B21*'Conversion factors BATT'!$B17</f>
        <v>23474.861220111023</v>
      </c>
      <c r="K10" s="92">
        <f>10*(K16*1000/'Conversion factors BATT'!$B$19)*'Conversion factors BATT'!$B22*'Conversion factors BATT'!$B20*'Conversion factors BATT'!$B21*'Conversion factors BATT'!$B17</f>
        <v>23474.861220111023</v>
      </c>
      <c r="L10" s="92">
        <f>10*(L16*1000/'Conversion factors BATT'!$B$19)*'Conversion factors BATT'!$B22*'Conversion factors BATT'!$B20*'Conversion factors BATT'!$B21*'Conversion factors BATT'!$B17</f>
        <v>23474.861220111023</v>
      </c>
      <c r="M10" s="92">
        <f>10*(M16*1000/'Conversion factors BATT'!$B$19)*'Conversion factors BATT'!$B22*'Conversion factors BATT'!$B20*'Conversion factors BATT'!$B21*'Conversion factors BATT'!$B17</f>
        <v>23474.861220111023</v>
      </c>
      <c r="N10" s="92">
        <f>10*(N16*1000/'Conversion factors BATT'!$B$19)*'Conversion factors BATT'!$B22*'Conversion factors BATT'!$B20*'Conversion factors BATT'!$B21*'Conversion factors BATT'!$B17</f>
        <v>23474.861220111023</v>
      </c>
      <c r="O10" s="92">
        <f>10*(O16*1000/'Conversion factors BATT'!$B$19)*'Conversion factors BATT'!$B22*'Conversion factors BATT'!$B20*'Conversion factors BATT'!$B21*'Conversion factors BATT'!$B17</f>
        <v>23474.861220111023</v>
      </c>
      <c r="P10" s="92">
        <f>10*(P16*1000/'Conversion factors BATT'!$B$19)*'Conversion factors BATT'!$B22*'Conversion factors BATT'!$B20*'Conversion factors BATT'!$B21*'Conversion factors BATT'!$B17</f>
        <v>23474.861220111023</v>
      </c>
      <c r="Q10" s="81">
        <f>SUM(G10:P10)</f>
        <v>223011.18159105472</v>
      </c>
      <c r="R10" s="164"/>
      <c r="S10" s="86">
        <f>'Conversion factors BATT'!B23</f>
        <v>80.400000000000006</v>
      </c>
      <c r="T10" s="83">
        <f t="shared" ref="T10:AC10" si="1">$S10*G10</f>
        <v>943689.42104846321</v>
      </c>
      <c r="U10" s="83">
        <f t="shared" si="1"/>
        <v>1887378.8420969264</v>
      </c>
      <c r="V10" s="83">
        <f t="shared" si="1"/>
        <v>1887378.8420969264</v>
      </c>
      <c r="W10" s="83">
        <f t="shared" si="1"/>
        <v>1887378.8420969264</v>
      </c>
      <c r="X10" s="83">
        <f t="shared" si="1"/>
        <v>1887378.8420969264</v>
      </c>
      <c r="Y10" s="83">
        <f t="shared" si="1"/>
        <v>1887378.8420969264</v>
      </c>
      <c r="Z10" s="83">
        <f t="shared" si="1"/>
        <v>1887378.8420969264</v>
      </c>
      <c r="AA10" s="83">
        <f t="shared" si="1"/>
        <v>1887378.8420969264</v>
      </c>
      <c r="AB10" s="83">
        <f t="shared" si="1"/>
        <v>1887378.8420969264</v>
      </c>
      <c r="AC10" s="83">
        <f t="shared" si="1"/>
        <v>1887378.8420969264</v>
      </c>
      <c r="AD10" s="83">
        <f t="shared" ref="AD10" si="2">SUM(T10:AC10)</f>
        <v>17930098.9999208</v>
      </c>
      <c r="AE10" s="28"/>
      <c r="AF10" s="26"/>
      <c r="AG10" s="28"/>
      <c r="AH10" s="28"/>
      <c r="AI10" s="28"/>
      <c r="AJ10" s="28"/>
      <c r="AK10" s="26"/>
    </row>
    <row r="11" spans="1:37" ht="13" thickBot="1" x14ac:dyDescent="0.4"/>
    <row r="12" spans="1:37" ht="26.15" customHeight="1" thickBot="1" x14ac:dyDescent="0.4">
      <c r="A12" s="104" t="s">
        <v>634</v>
      </c>
      <c r="B12" s="105"/>
      <c r="C12" s="105"/>
      <c r="D12" s="105"/>
      <c r="E12" s="105"/>
      <c r="F12" s="105"/>
      <c r="G12" s="105"/>
      <c r="H12" s="105"/>
      <c r="I12" s="105"/>
      <c r="J12" s="105"/>
      <c r="K12" s="105"/>
      <c r="L12" s="105"/>
      <c r="M12" s="105"/>
      <c r="N12" s="105"/>
      <c r="O12" s="105"/>
      <c r="P12" s="105"/>
      <c r="Q12" s="105"/>
      <c r="R12" s="105"/>
      <c r="S12" s="106"/>
      <c r="T12" s="107"/>
      <c r="U12" s="107"/>
      <c r="V12" s="107"/>
      <c r="W12" s="107"/>
      <c r="X12" s="107"/>
      <c r="Y12" s="107"/>
      <c r="Z12" s="107"/>
      <c r="AA12" s="107"/>
      <c r="AB12" s="107"/>
      <c r="AC12" s="107"/>
      <c r="AD12" s="107"/>
      <c r="AE12" s="107"/>
      <c r="AF12" s="107"/>
      <c r="AG12" s="107"/>
      <c r="AH12" s="108"/>
      <c r="AI12" s="108"/>
      <c r="AJ12" s="105"/>
      <c r="AK12" s="105"/>
    </row>
    <row r="13" spans="1:37" ht="31" customHeight="1" thickBot="1" x14ac:dyDescent="0.4">
      <c r="A13" s="67" t="s">
        <v>744</v>
      </c>
      <c r="B13" s="79"/>
      <c r="C13" s="79"/>
      <c r="D13" s="79"/>
      <c r="E13" s="79"/>
      <c r="F13" s="79"/>
      <c r="G13" s="79"/>
      <c r="H13" s="79"/>
      <c r="I13" s="79"/>
      <c r="J13" s="79"/>
      <c r="K13" s="79"/>
      <c r="L13" s="79"/>
      <c r="M13" s="79"/>
      <c r="N13" s="79"/>
      <c r="O13" s="79"/>
      <c r="P13" s="79"/>
      <c r="Q13" s="79"/>
      <c r="R13" s="85"/>
      <c r="S13" s="85"/>
      <c r="T13" s="82">
        <f t="shared" ref="T13:AC13" si="3">T93+T46+T27</f>
        <v>380140.21937980084</v>
      </c>
      <c r="U13" s="82">
        <f t="shared" si="3"/>
        <v>760280.43875960167</v>
      </c>
      <c r="V13" s="82">
        <f t="shared" si="3"/>
        <v>760280.43875960167</v>
      </c>
      <c r="W13" s="82">
        <f t="shared" si="3"/>
        <v>760280.43875960167</v>
      </c>
      <c r="X13" s="82">
        <f t="shared" si="3"/>
        <v>755453.58560455195</v>
      </c>
      <c r="Y13" s="82">
        <f t="shared" si="3"/>
        <v>755453.58560455195</v>
      </c>
      <c r="Z13" s="82">
        <f t="shared" si="3"/>
        <v>755453.58560455195</v>
      </c>
      <c r="AA13" s="82">
        <f t="shared" si="3"/>
        <v>755453.58560455195</v>
      </c>
      <c r="AB13" s="82">
        <f t="shared" si="3"/>
        <v>755453.58560455195</v>
      </c>
      <c r="AC13" s="82">
        <f t="shared" si="3"/>
        <v>750633.7119772404</v>
      </c>
      <c r="AD13" s="82">
        <f t="shared" ref="AD13" si="4">SUM(T13:AC13)</f>
        <v>7188883.1756586069</v>
      </c>
      <c r="AE13" s="28"/>
      <c r="AF13" s="26"/>
      <c r="AG13" s="28"/>
      <c r="AH13" s="28"/>
      <c r="AI13" s="28"/>
      <c r="AJ13" s="28"/>
      <c r="AK13" s="26"/>
    </row>
    <row r="14" spans="1:37" ht="13" thickBot="1" x14ac:dyDescent="0.4"/>
    <row r="15" spans="1:37" ht="26.15" customHeight="1" thickBot="1" x14ac:dyDescent="0.4">
      <c r="A15" s="112" t="s">
        <v>655</v>
      </c>
      <c r="B15" s="113"/>
      <c r="C15" s="113"/>
      <c r="D15" s="113"/>
      <c r="E15" s="113"/>
      <c r="F15" s="113"/>
      <c r="G15" s="113"/>
      <c r="H15" s="113"/>
      <c r="I15" s="113"/>
      <c r="J15" s="113"/>
      <c r="K15" s="113"/>
      <c r="L15" s="113"/>
      <c r="M15" s="113"/>
      <c r="N15" s="113"/>
      <c r="O15" s="113"/>
      <c r="P15" s="113"/>
      <c r="Q15" s="113"/>
      <c r="R15" s="113"/>
      <c r="S15" s="114"/>
      <c r="T15" s="114"/>
      <c r="U15" s="114"/>
      <c r="V15" s="114"/>
      <c r="W15" s="114"/>
      <c r="X15" s="114"/>
      <c r="Y15" s="114"/>
      <c r="Z15" s="114"/>
      <c r="AA15" s="114"/>
      <c r="AB15" s="114"/>
      <c r="AC15" s="114"/>
      <c r="AD15" s="115"/>
      <c r="AE15" s="115"/>
      <c r="AF15" s="115"/>
      <c r="AG15" s="113"/>
      <c r="AH15" s="113"/>
      <c r="AI15" s="115"/>
      <c r="AJ15" s="113"/>
      <c r="AK15" s="113"/>
    </row>
    <row r="16" spans="1:37" ht="41.15" customHeight="1" thickBot="1" x14ac:dyDescent="0.4">
      <c r="A16" s="22" t="s">
        <v>371</v>
      </c>
      <c r="B16" s="22" t="s">
        <v>371</v>
      </c>
      <c r="C16" s="29" t="s">
        <v>368</v>
      </c>
      <c r="D16" s="22" t="s">
        <v>195</v>
      </c>
      <c r="E16" s="29" t="s">
        <v>155</v>
      </c>
      <c r="F16" s="26" t="s">
        <v>341</v>
      </c>
      <c r="G16" s="83">
        <f>'Project emissions BATT'!G22</f>
        <v>4000</v>
      </c>
      <c r="H16" s="83">
        <f>'Project emissions BATT'!H22</f>
        <v>8000</v>
      </c>
      <c r="I16" s="83">
        <f>'Project emissions BATT'!I22</f>
        <v>8000</v>
      </c>
      <c r="J16" s="83">
        <f>'Project emissions BATT'!J22</f>
        <v>8000</v>
      </c>
      <c r="K16" s="83">
        <f>'Project emissions BATT'!K22</f>
        <v>8000</v>
      </c>
      <c r="L16" s="83">
        <f>'Project emissions BATT'!L22</f>
        <v>8000</v>
      </c>
      <c r="M16" s="83">
        <f>'Project emissions BATT'!M22</f>
        <v>8000</v>
      </c>
      <c r="N16" s="83">
        <f>'Project emissions BATT'!N22</f>
        <v>8000</v>
      </c>
      <c r="O16" s="83">
        <f>'Project emissions BATT'!O22</f>
        <v>8000</v>
      </c>
      <c r="P16" s="83">
        <f>'Project emissions BATT'!P22</f>
        <v>8000</v>
      </c>
      <c r="Q16" s="83">
        <f>'Project emissions BATT'!Q22</f>
        <v>76000</v>
      </c>
      <c r="R16" s="28"/>
      <c r="S16" s="28"/>
      <c r="T16" s="28"/>
      <c r="U16" s="28"/>
      <c r="V16" s="28"/>
      <c r="W16" s="28"/>
      <c r="X16" s="28"/>
      <c r="Y16" s="28"/>
      <c r="Z16" s="28"/>
      <c r="AA16" s="28"/>
      <c r="AB16" s="28"/>
      <c r="AC16" s="28"/>
      <c r="AD16" s="28"/>
      <c r="AE16" s="28"/>
      <c r="AF16" s="26"/>
      <c r="AG16" s="28"/>
      <c r="AH16" s="28"/>
      <c r="AI16" s="28"/>
      <c r="AJ16" s="28"/>
      <c r="AK16" s="26"/>
    </row>
    <row r="17" spans="1:37" ht="13" thickBot="1" x14ac:dyDescent="0.4"/>
    <row r="18" spans="1:37" ht="26.15" customHeight="1" thickBot="1" x14ac:dyDescent="0.4">
      <c r="A18" s="112" t="s">
        <v>635</v>
      </c>
      <c r="B18" s="113"/>
      <c r="C18" s="113"/>
      <c r="D18" s="113"/>
      <c r="E18" s="113"/>
      <c r="F18" s="113"/>
      <c r="G18" s="113"/>
      <c r="H18" s="113"/>
      <c r="I18" s="113"/>
      <c r="J18" s="113"/>
      <c r="K18" s="113"/>
      <c r="L18" s="113"/>
      <c r="M18" s="113"/>
      <c r="N18" s="113"/>
      <c r="O18" s="113"/>
      <c r="P18" s="113"/>
      <c r="Q18" s="113"/>
      <c r="R18" s="113"/>
      <c r="S18" s="114"/>
      <c r="T18" s="114"/>
      <c r="U18" s="114"/>
      <c r="V18" s="114"/>
      <c r="W18" s="114"/>
      <c r="X18" s="114"/>
      <c r="Y18" s="114"/>
      <c r="Z18" s="114"/>
      <c r="AA18" s="114"/>
      <c r="AB18" s="114"/>
      <c r="AC18" s="114"/>
      <c r="AD18" s="114"/>
      <c r="AE18" s="114"/>
      <c r="AF18" s="114"/>
      <c r="AG18" s="115"/>
      <c r="AH18" s="115"/>
      <c r="AI18" s="113"/>
      <c r="AJ18" s="113"/>
      <c r="AK18" s="115"/>
    </row>
    <row r="19" spans="1:37" ht="42.65" customHeight="1" thickBot="1" x14ac:dyDescent="0.4">
      <c r="A19" s="23" t="s">
        <v>736</v>
      </c>
      <c r="B19" s="23" t="s">
        <v>737</v>
      </c>
      <c r="C19" s="23" t="s">
        <v>70</v>
      </c>
      <c r="D19" s="22" t="s">
        <v>312</v>
      </c>
      <c r="E19" s="23" t="s">
        <v>70</v>
      </c>
      <c r="F19" s="26" t="s">
        <v>76</v>
      </c>
      <c r="G19" s="86">
        <f>'Conversion factors BATT'!$B$54*G$16*'Conversion factors BATT'!$B$17*1000</f>
        <v>503.99959680032259</v>
      </c>
      <c r="H19" s="86">
        <f>'Conversion factors BATT'!$B$54*H$16*'Conversion factors BATT'!$B$17*1000</f>
        <v>1007.9991936006452</v>
      </c>
      <c r="I19" s="86">
        <f>'Conversion factors BATT'!$B$54*I$16*'Conversion factors BATT'!$B$17*1000</f>
        <v>1007.9991936006452</v>
      </c>
      <c r="J19" s="86">
        <f>'Conversion factors BATT'!$B$54*J$16*'Conversion factors BATT'!$B$17*1000</f>
        <v>1007.9991936006452</v>
      </c>
      <c r="K19" s="86">
        <f>'Conversion factors BATT'!$B$54*K$16*'Conversion factors BATT'!$B$17*1000</f>
        <v>1007.9991936006452</v>
      </c>
      <c r="L19" s="86">
        <f>'Conversion factors BATT'!$B$54*L$16*'Conversion factors BATT'!$B$17*1000</f>
        <v>1007.9991936006452</v>
      </c>
      <c r="M19" s="86">
        <f>'Conversion factors BATT'!$B$54*M$16*'Conversion factors BATT'!$B$17*1000</f>
        <v>1007.9991936006452</v>
      </c>
      <c r="N19" s="86">
        <f>'Conversion factors BATT'!$B$54*N$16*'Conversion factors BATT'!$B$17*1000</f>
        <v>1007.9991936006452</v>
      </c>
      <c r="O19" s="86">
        <f>'Conversion factors BATT'!$B$54*O$16*'Conversion factors BATT'!$B$17*1000</f>
        <v>1007.9991936006452</v>
      </c>
      <c r="P19" s="86">
        <f>'Conversion factors BATT'!$B$54*P$16*'Conversion factors BATT'!$B$17*1000</f>
        <v>1007.9991936006452</v>
      </c>
      <c r="Q19" s="81">
        <f t="shared" ref="Q19:Q25" si="5">SUM(G19:P19)</f>
        <v>9575.9923392061301</v>
      </c>
      <c r="R19" s="28"/>
      <c r="S19" s="83">
        <f>'Conversion factors BATT'!B6</f>
        <v>161.11124000000001</v>
      </c>
      <c r="T19" s="83">
        <f>G19*$S19</f>
        <v>81200.000000000015</v>
      </c>
      <c r="U19" s="83">
        <f t="shared" ref="U19:AC19" si="6">H19*$S19</f>
        <v>162400.00000000003</v>
      </c>
      <c r="V19" s="83">
        <f t="shared" si="6"/>
        <v>162400.00000000003</v>
      </c>
      <c r="W19" s="83">
        <f t="shared" si="6"/>
        <v>162400.00000000003</v>
      </c>
      <c r="X19" s="83">
        <f t="shared" si="6"/>
        <v>162400.00000000003</v>
      </c>
      <c r="Y19" s="83">
        <f t="shared" si="6"/>
        <v>162400.00000000003</v>
      </c>
      <c r="Z19" s="83">
        <f t="shared" si="6"/>
        <v>162400.00000000003</v>
      </c>
      <c r="AA19" s="83">
        <f t="shared" si="6"/>
        <v>162400.00000000003</v>
      </c>
      <c r="AB19" s="83">
        <f t="shared" si="6"/>
        <v>162400.00000000003</v>
      </c>
      <c r="AC19" s="83">
        <f t="shared" si="6"/>
        <v>162400.00000000003</v>
      </c>
      <c r="AD19" s="83">
        <f>SUM(T19:AC19)</f>
        <v>1542800.0000000002</v>
      </c>
      <c r="AE19" s="28"/>
      <c r="AF19" s="26"/>
      <c r="AG19" s="28"/>
      <c r="AH19" s="28"/>
      <c r="AI19" s="28"/>
      <c r="AJ19" s="28"/>
      <c r="AK19" s="26"/>
    </row>
    <row r="20" spans="1:37" ht="44.25" customHeight="1" thickBot="1" x14ac:dyDescent="0.4">
      <c r="A20" s="23" t="s">
        <v>736</v>
      </c>
      <c r="B20" s="23" t="s">
        <v>739</v>
      </c>
      <c r="C20" s="23" t="s">
        <v>71</v>
      </c>
      <c r="D20" s="22" t="s">
        <v>313</v>
      </c>
      <c r="E20" s="23" t="s">
        <v>71</v>
      </c>
      <c r="F20" s="26" t="s">
        <v>76</v>
      </c>
      <c r="G20" s="93"/>
      <c r="H20" s="93"/>
      <c r="I20" s="93"/>
      <c r="J20" s="93"/>
      <c r="K20" s="93"/>
      <c r="L20" s="93"/>
      <c r="M20" s="93"/>
      <c r="N20" s="93"/>
      <c r="O20" s="93"/>
      <c r="P20" s="93"/>
      <c r="Q20" s="81">
        <f t="shared" si="5"/>
        <v>0</v>
      </c>
      <c r="R20" s="28"/>
      <c r="S20" s="86">
        <f>'Conversion factors BATT'!B8</f>
        <v>47.3</v>
      </c>
      <c r="T20" s="83">
        <f>G20*$S20</f>
        <v>0</v>
      </c>
      <c r="U20" s="83">
        <f t="shared" ref="U20:AC25" si="7">H20*$S20</f>
        <v>0</v>
      </c>
      <c r="V20" s="83">
        <f t="shared" si="7"/>
        <v>0</v>
      </c>
      <c r="W20" s="83">
        <f t="shared" si="7"/>
        <v>0</v>
      </c>
      <c r="X20" s="83">
        <f t="shared" si="7"/>
        <v>0</v>
      </c>
      <c r="Y20" s="83">
        <f t="shared" si="7"/>
        <v>0</v>
      </c>
      <c r="Z20" s="83">
        <f t="shared" si="7"/>
        <v>0</v>
      </c>
      <c r="AA20" s="83">
        <f t="shared" si="7"/>
        <v>0</v>
      </c>
      <c r="AB20" s="83">
        <f t="shared" si="7"/>
        <v>0</v>
      </c>
      <c r="AC20" s="83">
        <f t="shared" si="7"/>
        <v>0</v>
      </c>
      <c r="AD20" s="83">
        <f t="shared" ref="AD20:AD27" si="8">SUM(T20:AC20)</f>
        <v>0</v>
      </c>
      <c r="AE20" s="28"/>
      <c r="AF20" s="26"/>
      <c r="AG20" s="28"/>
      <c r="AH20" s="28"/>
      <c r="AI20" s="28"/>
      <c r="AJ20" s="28"/>
      <c r="AK20" s="26"/>
    </row>
    <row r="21" spans="1:37" ht="40.5" customHeight="1" thickBot="1" x14ac:dyDescent="0.4">
      <c r="A21" s="23" t="s">
        <v>736</v>
      </c>
      <c r="B21" s="23" t="s">
        <v>738</v>
      </c>
      <c r="C21" s="23" t="s">
        <v>72</v>
      </c>
      <c r="D21" s="22" t="s">
        <v>314</v>
      </c>
      <c r="E21" s="23" t="s">
        <v>72</v>
      </c>
      <c r="F21" s="26" t="s">
        <v>76</v>
      </c>
      <c r="G21" s="93"/>
      <c r="H21" s="93"/>
      <c r="I21" s="93"/>
      <c r="J21" s="93"/>
      <c r="K21" s="93"/>
      <c r="L21" s="93"/>
      <c r="M21" s="93"/>
      <c r="N21" s="93"/>
      <c r="O21" s="93"/>
      <c r="P21" s="93"/>
      <c r="Q21" s="81">
        <f t="shared" si="5"/>
        <v>0</v>
      </c>
      <c r="R21" s="28"/>
      <c r="S21" s="86">
        <f>'Conversion factors BATT'!B7</f>
        <v>57</v>
      </c>
      <c r="T21" s="83">
        <f>G21*$S21</f>
        <v>0</v>
      </c>
      <c r="U21" s="83">
        <f t="shared" si="7"/>
        <v>0</v>
      </c>
      <c r="V21" s="83">
        <f t="shared" si="7"/>
        <v>0</v>
      </c>
      <c r="W21" s="83">
        <f t="shared" si="7"/>
        <v>0</v>
      </c>
      <c r="X21" s="83">
        <f t="shared" si="7"/>
        <v>0</v>
      </c>
      <c r="Y21" s="83">
        <f t="shared" si="7"/>
        <v>0</v>
      </c>
      <c r="Z21" s="83">
        <f t="shared" si="7"/>
        <v>0</v>
      </c>
      <c r="AA21" s="83">
        <f t="shared" si="7"/>
        <v>0</v>
      </c>
      <c r="AB21" s="83">
        <f t="shared" si="7"/>
        <v>0</v>
      </c>
      <c r="AC21" s="83">
        <f t="shared" si="7"/>
        <v>0</v>
      </c>
      <c r="AD21" s="83">
        <f t="shared" si="8"/>
        <v>0</v>
      </c>
      <c r="AE21" s="28"/>
      <c r="AF21" s="26"/>
      <c r="AG21" s="28"/>
      <c r="AH21" s="28"/>
      <c r="AI21" s="28"/>
      <c r="AJ21" s="28"/>
      <c r="AK21" s="26"/>
    </row>
    <row r="22" spans="1:37" ht="31" customHeight="1" thickBot="1" x14ac:dyDescent="0.4">
      <c r="A22" s="23" t="s">
        <v>736</v>
      </c>
      <c r="B22" s="23" t="s">
        <v>740</v>
      </c>
      <c r="C22" s="63" t="s">
        <v>105</v>
      </c>
      <c r="D22" s="29" t="s">
        <v>319</v>
      </c>
      <c r="E22" s="23" t="s">
        <v>105</v>
      </c>
      <c r="F22" s="26" t="s">
        <v>76</v>
      </c>
      <c r="G22" s="93"/>
      <c r="H22" s="93"/>
      <c r="I22" s="93"/>
      <c r="J22" s="93"/>
      <c r="K22" s="93"/>
      <c r="L22" s="93"/>
      <c r="M22" s="93"/>
      <c r="N22" s="93"/>
      <c r="O22" s="93"/>
      <c r="P22" s="93"/>
      <c r="Q22" s="81">
        <f>SUM(G22:P22)</f>
        <v>0</v>
      </c>
      <c r="R22" s="28"/>
      <c r="S22" s="86">
        <f>'Conversion factors BATT'!B9</f>
        <v>56.2</v>
      </c>
      <c r="T22" s="83">
        <f>G22*$S22</f>
        <v>0</v>
      </c>
      <c r="U22" s="83">
        <f t="shared" ref="U22:AC22" si="9">H22*$S22</f>
        <v>0</v>
      </c>
      <c r="V22" s="83">
        <f t="shared" si="9"/>
        <v>0</v>
      </c>
      <c r="W22" s="83">
        <f t="shared" si="9"/>
        <v>0</v>
      </c>
      <c r="X22" s="83">
        <f t="shared" si="9"/>
        <v>0</v>
      </c>
      <c r="Y22" s="83">
        <f t="shared" si="9"/>
        <v>0</v>
      </c>
      <c r="Z22" s="83">
        <f t="shared" si="9"/>
        <v>0</v>
      </c>
      <c r="AA22" s="83">
        <f t="shared" si="9"/>
        <v>0</v>
      </c>
      <c r="AB22" s="83">
        <f t="shared" si="9"/>
        <v>0</v>
      </c>
      <c r="AC22" s="83">
        <f t="shared" si="9"/>
        <v>0</v>
      </c>
      <c r="AD22" s="83">
        <f t="shared" si="8"/>
        <v>0</v>
      </c>
      <c r="AE22" s="28"/>
      <c r="AF22" s="26"/>
      <c r="AG22" s="28"/>
      <c r="AH22" s="28"/>
      <c r="AI22" s="28"/>
      <c r="AJ22" s="28"/>
      <c r="AK22" s="26"/>
    </row>
    <row r="23" spans="1:37" ht="28" customHeight="1" thickBot="1" x14ac:dyDescent="0.4">
      <c r="A23" s="23" t="s">
        <v>736</v>
      </c>
      <c r="B23" s="23" t="s">
        <v>741</v>
      </c>
      <c r="C23" s="63" t="s">
        <v>409</v>
      </c>
      <c r="D23" s="29" t="s">
        <v>320</v>
      </c>
      <c r="E23" s="23" t="s">
        <v>106</v>
      </c>
      <c r="F23" s="26" t="s">
        <v>107</v>
      </c>
      <c r="G23" s="93"/>
      <c r="H23" s="93"/>
      <c r="I23" s="93"/>
      <c r="J23" s="93"/>
      <c r="K23" s="93"/>
      <c r="L23" s="93"/>
      <c r="M23" s="93"/>
      <c r="N23" s="93"/>
      <c r="O23" s="93"/>
      <c r="P23" s="93"/>
      <c r="Q23" s="81">
        <f t="shared" si="5"/>
        <v>0</v>
      </c>
      <c r="R23" s="28"/>
      <c r="S23" s="88">
        <f>'Conversion factors BATT'!B16</f>
        <v>3.12</v>
      </c>
      <c r="T23" s="83">
        <f t="shared" ref="T23:T25" si="10">G23*$S23</f>
        <v>0</v>
      </c>
      <c r="U23" s="83">
        <f t="shared" si="7"/>
        <v>0</v>
      </c>
      <c r="V23" s="83">
        <f t="shared" si="7"/>
        <v>0</v>
      </c>
      <c r="W23" s="83">
        <f t="shared" si="7"/>
        <v>0</v>
      </c>
      <c r="X23" s="83">
        <f t="shared" si="7"/>
        <v>0</v>
      </c>
      <c r="Y23" s="83">
        <f t="shared" si="7"/>
        <v>0</v>
      </c>
      <c r="Z23" s="83">
        <f t="shared" si="7"/>
        <v>0</v>
      </c>
      <c r="AA23" s="83">
        <f t="shared" si="7"/>
        <v>0</v>
      </c>
      <c r="AB23" s="83">
        <f t="shared" si="7"/>
        <v>0</v>
      </c>
      <c r="AC23" s="83">
        <f t="shared" si="7"/>
        <v>0</v>
      </c>
      <c r="AD23" s="83">
        <f t="shared" si="8"/>
        <v>0</v>
      </c>
      <c r="AE23" s="28"/>
      <c r="AF23" s="26"/>
      <c r="AG23" s="28"/>
      <c r="AH23" s="28"/>
      <c r="AI23" s="28"/>
      <c r="AJ23" s="28"/>
      <c r="AK23" s="26"/>
    </row>
    <row r="24" spans="1:37" ht="27.65" customHeight="1" thickBot="1" x14ac:dyDescent="0.4">
      <c r="A24" s="23" t="s">
        <v>736</v>
      </c>
      <c r="B24" s="23" t="s">
        <v>742</v>
      </c>
      <c r="C24" s="63" t="s">
        <v>108</v>
      </c>
      <c r="D24" s="29" t="s">
        <v>321</v>
      </c>
      <c r="E24" s="23" t="s">
        <v>108</v>
      </c>
      <c r="F24" s="26" t="s">
        <v>109</v>
      </c>
      <c r="G24" s="93"/>
      <c r="H24" s="93"/>
      <c r="I24" s="93"/>
      <c r="J24" s="93"/>
      <c r="K24" s="93"/>
      <c r="L24" s="93"/>
      <c r="M24" s="93"/>
      <c r="N24" s="93"/>
      <c r="O24" s="93"/>
      <c r="P24" s="93"/>
      <c r="Q24" s="81">
        <f t="shared" si="5"/>
        <v>0</v>
      </c>
      <c r="R24" s="28"/>
      <c r="S24" s="89">
        <f>'Conversion factors BATT'!B13</f>
        <v>2.6800000000000001E-3</v>
      </c>
      <c r="T24" s="83">
        <f t="shared" si="10"/>
        <v>0</v>
      </c>
      <c r="U24" s="83">
        <f t="shared" si="7"/>
        <v>0</v>
      </c>
      <c r="V24" s="83">
        <f t="shared" si="7"/>
        <v>0</v>
      </c>
      <c r="W24" s="83">
        <f t="shared" si="7"/>
        <v>0</v>
      </c>
      <c r="X24" s="83">
        <f t="shared" si="7"/>
        <v>0</v>
      </c>
      <c r="Y24" s="83">
        <f t="shared" si="7"/>
        <v>0</v>
      </c>
      <c r="Z24" s="83">
        <f t="shared" si="7"/>
        <v>0</v>
      </c>
      <c r="AA24" s="83">
        <f t="shared" si="7"/>
        <v>0</v>
      </c>
      <c r="AB24" s="83">
        <f t="shared" si="7"/>
        <v>0</v>
      </c>
      <c r="AC24" s="83">
        <f t="shared" si="7"/>
        <v>0</v>
      </c>
      <c r="AD24" s="83">
        <f t="shared" si="8"/>
        <v>0</v>
      </c>
      <c r="AE24" s="28"/>
      <c r="AF24" s="26"/>
      <c r="AG24" s="28"/>
      <c r="AH24" s="28"/>
      <c r="AI24" s="28"/>
      <c r="AJ24" s="28"/>
      <c r="AK24" s="26"/>
    </row>
    <row r="25" spans="1:37" ht="29.5" customHeight="1" thickBot="1" x14ac:dyDescent="0.4">
      <c r="A25" s="23" t="s">
        <v>736</v>
      </c>
      <c r="B25" s="23" t="s">
        <v>743</v>
      </c>
      <c r="C25" s="63" t="s">
        <v>110</v>
      </c>
      <c r="D25" s="29" t="s">
        <v>322</v>
      </c>
      <c r="E25" s="23" t="s">
        <v>110</v>
      </c>
      <c r="F25" s="26" t="s">
        <v>109</v>
      </c>
      <c r="G25" s="93"/>
      <c r="H25" s="93"/>
      <c r="I25" s="93"/>
      <c r="J25" s="93"/>
      <c r="K25" s="93"/>
      <c r="L25" s="93"/>
      <c r="M25" s="93"/>
      <c r="N25" s="93"/>
      <c r="O25" s="93"/>
      <c r="P25" s="93"/>
      <c r="Q25" s="81">
        <f t="shared" si="5"/>
        <v>0</v>
      </c>
      <c r="R25" s="28"/>
      <c r="S25" s="89">
        <f>'Conversion factors BATT'!B11</f>
        <v>2.2799999999999999E-3</v>
      </c>
      <c r="T25" s="83">
        <f t="shared" si="10"/>
        <v>0</v>
      </c>
      <c r="U25" s="83">
        <f t="shared" si="7"/>
        <v>0</v>
      </c>
      <c r="V25" s="83">
        <f t="shared" si="7"/>
        <v>0</v>
      </c>
      <c r="W25" s="83">
        <f t="shared" si="7"/>
        <v>0</v>
      </c>
      <c r="X25" s="83">
        <f t="shared" si="7"/>
        <v>0</v>
      </c>
      <c r="Y25" s="83">
        <f t="shared" si="7"/>
        <v>0</v>
      </c>
      <c r="Z25" s="83">
        <f t="shared" si="7"/>
        <v>0</v>
      </c>
      <c r="AA25" s="83">
        <f t="shared" si="7"/>
        <v>0</v>
      </c>
      <c r="AB25" s="83">
        <f t="shared" si="7"/>
        <v>0</v>
      </c>
      <c r="AC25" s="83">
        <f t="shared" si="7"/>
        <v>0</v>
      </c>
      <c r="AD25" s="83">
        <f t="shared" si="8"/>
        <v>0</v>
      </c>
      <c r="AE25" s="28"/>
      <c r="AF25" s="26"/>
      <c r="AG25" s="28"/>
      <c r="AH25" s="28"/>
      <c r="AI25" s="28"/>
      <c r="AJ25" s="28"/>
      <c r="AK25" s="26"/>
    </row>
    <row r="26" spans="1:37" ht="27.65" customHeight="1" thickBot="1" x14ac:dyDescent="0.4">
      <c r="A26" s="23" t="s">
        <v>653</v>
      </c>
      <c r="B26" s="23" t="s">
        <v>653</v>
      </c>
      <c r="C26" s="63" t="s">
        <v>465</v>
      </c>
      <c r="D26" s="29" t="s">
        <v>344</v>
      </c>
      <c r="E26" s="23" t="s">
        <v>155</v>
      </c>
      <c r="F26" s="26" t="s">
        <v>341</v>
      </c>
      <c r="G26" s="83">
        <f t="shared" ref="G26:P26" si="11">G16</f>
        <v>4000</v>
      </c>
      <c r="H26" s="83">
        <f t="shared" si="11"/>
        <v>8000</v>
      </c>
      <c r="I26" s="83">
        <f t="shared" si="11"/>
        <v>8000</v>
      </c>
      <c r="J26" s="83">
        <f t="shared" si="11"/>
        <v>8000</v>
      </c>
      <c r="K26" s="83">
        <f t="shared" si="11"/>
        <v>8000</v>
      </c>
      <c r="L26" s="83">
        <f t="shared" si="11"/>
        <v>8000</v>
      </c>
      <c r="M26" s="83">
        <f t="shared" si="11"/>
        <v>8000</v>
      </c>
      <c r="N26" s="83">
        <f t="shared" si="11"/>
        <v>8000</v>
      </c>
      <c r="O26" s="83">
        <f t="shared" si="11"/>
        <v>8000</v>
      </c>
      <c r="P26" s="83">
        <f t="shared" si="11"/>
        <v>8000</v>
      </c>
      <c r="Q26" s="81">
        <f t="shared" ref="Q26" si="12">SUM(G26:P26)</f>
        <v>76000</v>
      </c>
      <c r="R26" s="28"/>
      <c r="S26" s="89">
        <f>'Conversion factors BATT'!$B$55</f>
        <v>0.25</v>
      </c>
      <c r="T26" s="83">
        <f t="shared" ref="T26" si="13">G26*$S26</f>
        <v>1000</v>
      </c>
      <c r="U26" s="83">
        <f t="shared" ref="U26" si="14">H26*$S26</f>
        <v>2000</v>
      </c>
      <c r="V26" s="83">
        <f t="shared" ref="V26" si="15">I26*$S26</f>
        <v>2000</v>
      </c>
      <c r="W26" s="83">
        <f t="shared" ref="W26" si="16">J26*$S26</f>
        <v>2000</v>
      </c>
      <c r="X26" s="83">
        <f t="shared" ref="X26" si="17">K26*$S26</f>
        <v>2000</v>
      </c>
      <c r="Y26" s="83">
        <f t="shared" ref="Y26" si="18">L26*$S26</f>
        <v>2000</v>
      </c>
      <c r="Z26" s="83">
        <f t="shared" ref="Z26" si="19">M26*$S26</f>
        <v>2000</v>
      </c>
      <c r="AA26" s="83">
        <f t="shared" ref="AA26" si="20">N26*$S26</f>
        <v>2000</v>
      </c>
      <c r="AB26" s="83">
        <f t="shared" ref="AB26" si="21">O26*$S26</f>
        <v>2000</v>
      </c>
      <c r="AC26" s="83">
        <f t="shared" ref="AC26" si="22">P26*$S26</f>
        <v>2000</v>
      </c>
      <c r="AD26" s="83">
        <f t="shared" ref="AD26" si="23">SUM(T26:AC26)</f>
        <v>19000</v>
      </c>
      <c r="AE26" s="28"/>
      <c r="AF26" s="26"/>
      <c r="AG26" s="28"/>
      <c r="AH26" s="28"/>
      <c r="AI26" s="28"/>
      <c r="AJ26" s="28"/>
      <c r="AK26" s="26"/>
    </row>
    <row r="27" spans="1:37" ht="42.65" customHeight="1" thickBot="1" x14ac:dyDescent="0.4">
      <c r="A27" s="109"/>
      <c r="B27" s="109"/>
      <c r="C27" s="109"/>
      <c r="D27" s="111" t="s">
        <v>187</v>
      </c>
      <c r="E27" s="110" t="s">
        <v>158</v>
      </c>
      <c r="F27" s="79"/>
      <c r="G27" s="79"/>
      <c r="H27" s="79"/>
      <c r="I27" s="79"/>
      <c r="J27" s="79"/>
      <c r="K27" s="79"/>
      <c r="L27" s="79"/>
      <c r="M27" s="79"/>
      <c r="N27" s="79"/>
      <c r="O27" s="79"/>
      <c r="P27" s="79"/>
      <c r="Q27" s="79"/>
      <c r="R27" s="79"/>
      <c r="S27" s="79"/>
      <c r="T27" s="83">
        <f>SUM(T19:T26)</f>
        <v>82200.000000000015</v>
      </c>
      <c r="U27" s="83">
        <f t="shared" ref="U27:AC27" si="24">SUM(U19:U26)</f>
        <v>164400.00000000003</v>
      </c>
      <c r="V27" s="83">
        <f t="shared" si="24"/>
        <v>164400.00000000003</v>
      </c>
      <c r="W27" s="83">
        <f t="shared" si="24"/>
        <v>164400.00000000003</v>
      </c>
      <c r="X27" s="83">
        <f t="shared" si="24"/>
        <v>164400.00000000003</v>
      </c>
      <c r="Y27" s="83">
        <f t="shared" si="24"/>
        <v>164400.00000000003</v>
      </c>
      <c r="Z27" s="83">
        <f t="shared" si="24"/>
        <v>164400.00000000003</v>
      </c>
      <c r="AA27" s="83">
        <f t="shared" si="24"/>
        <v>164400.00000000003</v>
      </c>
      <c r="AB27" s="83">
        <f t="shared" si="24"/>
        <v>164400.00000000003</v>
      </c>
      <c r="AC27" s="83">
        <f t="shared" si="24"/>
        <v>164400.00000000003</v>
      </c>
      <c r="AD27" s="83">
        <f t="shared" si="8"/>
        <v>1561800.0000000002</v>
      </c>
      <c r="AE27" s="28"/>
      <c r="AF27" s="26"/>
      <c r="AG27" s="28"/>
      <c r="AH27" s="28"/>
      <c r="AI27" s="28"/>
      <c r="AJ27" s="28"/>
      <c r="AK27" s="26"/>
    </row>
    <row r="28" spans="1:37" ht="13" thickBot="1" x14ac:dyDescent="0.4"/>
    <row r="29" spans="1:37" ht="26.15" customHeight="1" thickBot="1" x14ac:dyDescent="0.4">
      <c r="A29" s="112" t="s">
        <v>688</v>
      </c>
      <c r="B29" s="113"/>
      <c r="C29" s="113"/>
      <c r="D29" s="113"/>
      <c r="E29" s="113"/>
      <c r="F29" s="113"/>
      <c r="G29" s="113"/>
      <c r="H29" s="113"/>
      <c r="I29" s="113"/>
      <c r="J29" s="113"/>
      <c r="K29" s="113"/>
      <c r="L29" s="113"/>
      <c r="M29" s="113"/>
      <c r="N29" s="113"/>
      <c r="O29" s="113"/>
      <c r="P29" s="113"/>
      <c r="Q29" s="113"/>
      <c r="R29" s="113"/>
      <c r="S29" s="114"/>
      <c r="T29" s="114"/>
      <c r="U29" s="114"/>
      <c r="V29" s="114"/>
      <c r="W29" s="114"/>
      <c r="X29" s="114"/>
      <c r="Y29" s="114"/>
      <c r="Z29" s="114"/>
      <c r="AA29" s="114"/>
      <c r="AB29" s="114"/>
      <c r="AC29" s="114"/>
      <c r="AD29" s="114"/>
      <c r="AE29" s="114"/>
      <c r="AF29" s="114"/>
      <c r="AG29" s="115"/>
      <c r="AH29" s="115"/>
      <c r="AI29" s="113"/>
      <c r="AJ29" s="113"/>
      <c r="AK29" s="115"/>
    </row>
    <row r="30" spans="1:37" ht="77.5" customHeight="1" thickBot="1" x14ac:dyDescent="0.4">
      <c r="A30" s="29" t="s">
        <v>733</v>
      </c>
      <c r="B30" s="29" t="s">
        <v>745</v>
      </c>
      <c r="C30" s="29" t="s">
        <v>150</v>
      </c>
      <c r="D30" s="97" t="s">
        <v>311</v>
      </c>
      <c r="E30" s="29" t="s">
        <v>182</v>
      </c>
      <c r="F30" s="26" t="s">
        <v>762</v>
      </c>
      <c r="G30" s="88">
        <f>'Conversion factors BATT'!$B46</f>
        <v>1.7</v>
      </c>
      <c r="H30" s="88">
        <f>'Conversion factors BATT'!$B46</f>
        <v>1.7</v>
      </c>
      <c r="I30" s="88">
        <f>'Conversion factors BATT'!$B46</f>
        <v>1.7</v>
      </c>
      <c r="J30" s="88">
        <f>'Conversion factors BATT'!$B46</f>
        <v>1.7</v>
      </c>
      <c r="K30" s="88">
        <f>'Conversion factors BATT'!$B46</f>
        <v>1.7</v>
      </c>
      <c r="L30" s="88">
        <f>'Conversion factors BATT'!$B46</f>
        <v>1.7</v>
      </c>
      <c r="M30" s="88">
        <f>'Conversion factors BATT'!$B46</f>
        <v>1.7</v>
      </c>
      <c r="N30" s="88">
        <f>'Conversion factors BATT'!$B46</f>
        <v>1.7</v>
      </c>
      <c r="O30" s="88">
        <f>'Conversion factors BATT'!$B46</f>
        <v>1.7</v>
      </c>
      <c r="P30" s="88">
        <f>'Conversion factors BATT'!$B46</f>
        <v>1.7</v>
      </c>
      <c r="Q30" s="28"/>
      <c r="R30" s="28"/>
      <c r="S30" s="28"/>
      <c r="T30" s="28"/>
      <c r="U30" s="28"/>
      <c r="V30" s="28"/>
      <c r="W30" s="28"/>
      <c r="X30" s="28"/>
      <c r="Y30" s="28"/>
      <c r="Z30" s="28"/>
      <c r="AA30" s="28"/>
      <c r="AB30" s="28"/>
      <c r="AC30" s="28"/>
      <c r="AD30" s="28"/>
      <c r="AE30" s="28"/>
      <c r="AF30" s="26"/>
      <c r="AG30" s="28"/>
      <c r="AH30" s="28"/>
      <c r="AI30" s="28"/>
      <c r="AJ30" s="28"/>
      <c r="AK30" s="26"/>
    </row>
    <row r="31" spans="1:37" ht="40.5" customHeight="1" thickBot="1" x14ac:dyDescent="0.4">
      <c r="A31" s="29" t="s">
        <v>733</v>
      </c>
      <c r="B31" s="29" t="s">
        <v>746</v>
      </c>
      <c r="C31" s="29" t="s">
        <v>149</v>
      </c>
      <c r="D31" s="97" t="s">
        <v>183</v>
      </c>
      <c r="E31" s="29" t="s">
        <v>182</v>
      </c>
      <c r="F31" s="26" t="s">
        <v>762</v>
      </c>
      <c r="G31" s="86">
        <f>'Conversion factors BATT'!$B47</f>
        <v>1.78</v>
      </c>
      <c r="H31" s="86">
        <f>'Conversion factors BATT'!$B47</f>
        <v>1.78</v>
      </c>
      <c r="I31" s="86">
        <f>'Conversion factors BATT'!$B47</f>
        <v>1.78</v>
      </c>
      <c r="J31" s="86">
        <f>'Conversion factors BATT'!$B47</f>
        <v>1.78</v>
      </c>
      <c r="K31" s="86">
        <f>'Conversion factors BATT'!$B47</f>
        <v>1.78</v>
      </c>
      <c r="L31" s="86">
        <f>'Conversion factors BATT'!$B47</f>
        <v>1.78</v>
      </c>
      <c r="M31" s="86">
        <f>'Conversion factors BATT'!$B47</f>
        <v>1.78</v>
      </c>
      <c r="N31" s="86">
        <f>'Conversion factors BATT'!$B47</f>
        <v>1.78</v>
      </c>
      <c r="O31" s="86">
        <f>'Conversion factors BATT'!$B47</f>
        <v>1.78</v>
      </c>
      <c r="P31" s="86">
        <f>'Conversion factors BATT'!$B47</f>
        <v>1.78</v>
      </c>
      <c r="Q31" s="28"/>
      <c r="R31" s="28"/>
      <c r="S31" s="28"/>
      <c r="T31" s="28"/>
      <c r="U31" s="28"/>
      <c r="V31" s="28"/>
      <c r="W31" s="28"/>
      <c r="X31" s="28"/>
      <c r="Y31" s="28"/>
      <c r="Z31" s="28"/>
      <c r="AA31" s="28"/>
      <c r="AB31" s="28"/>
      <c r="AC31" s="28"/>
      <c r="AD31" s="28"/>
      <c r="AE31" s="28"/>
      <c r="AF31" s="26"/>
      <c r="AG31" s="28"/>
      <c r="AH31" s="28"/>
      <c r="AI31" s="28"/>
      <c r="AJ31" s="28"/>
      <c r="AK31" s="26"/>
    </row>
    <row r="32" spans="1:37" ht="31" customHeight="1" thickBot="1" x14ac:dyDescent="0.4">
      <c r="A32" s="29" t="s">
        <v>733</v>
      </c>
      <c r="B32" s="29" t="s">
        <v>747</v>
      </c>
      <c r="C32" s="29" t="s">
        <v>151</v>
      </c>
      <c r="D32" s="97" t="s">
        <v>208</v>
      </c>
      <c r="E32" s="29" t="s">
        <v>182</v>
      </c>
      <c r="F32" s="26" t="s">
        <v>762</v>
      </c>
      <c r="G32" s="86">
        <f>'Conversion factors BATT'!$B48</f>
        <v>0.91</v>
      </c>
      <c r="H32" s="86">
        <f>'Conversion factors BATT'!$B48</f>
        <v>0.91</v>
      </c>
      <c r="I32" s="86">
        <f>'Conversion factors BATT'!$B48</f>
        <v>0.91</v>
      </c>
      <c r="J32" s="86">
        <f>'Conversion factors BATT'!$B48</f>
        <v>0.91</v>
      </c>
      <c r="K32" s="86">
        <f>'Conversion factors BATT'!$B48</f>
        <v>0.91</v>
      </c>
      <c r="L32" s="86">
        <f>'Conversion factors BATT'!$B48</f>
        <v>0.91</v>
      </c>
      <c r="M32" s="86">
        <f>'Conversion factors BATT'!$B48</f>
        <v>0.91</v>
      </c>
      <c r="N32" s="86">
        <f>'Conversion factors BATT'!$B48</f>
        <v>0.91</v>
      </c>
      <c r="O32" s="86">
        <f>'Conversion factors BATT'!$B48</f>
        <v>0.91</v>
      </c>
      <c r="P32" s="86">
        <f>'Conversion factors BATT'!$B48</f>
        <v>0.91</v>
      </c>
      <c r="Q32" s="28"/>
      <c r="R32" s="28"/>
      <c r="S32" s="28"/>
      <c r="T32" s="28"/>
      <c r="U32" s="28"/>
      <c r="V32" s="28"/>
      <c r="W32" s="28"/>
      <c r="X32" s="28"/>
      <c r="Y32" s="28"/>
      <c r="Z32" s="28"/>
      <c r="AA32" s="28"/>
      <c r="AB32" s="28"/>
      <c r="AC32" s="28"/>
      <c r="AD32" s="28"/>
      <c r="AE32" s="28"/>
      <c r="AF32" s="26"/>
      <c r="AG32" s="28"/>
      <c r="AH32" s="28"/>
      <c r="AI32" s="28"/>
      <c r="AJ32" s="28"/>
      <c r="AK32" s="26"/>
    </row>
    <row r="33" spans="1:37" ht="40" customHeight="1" thickBot="1" x14ac:dyDescent="0.4">
      <c r="A33" s="29" t="s">
        <v>733</v>
      </c>
      <c r="B33" s="29" t="s">
        <v>748</v>
      </c>
      <c r="C33" s="29" t="s">
        <v>153</v>
      </c>
      <c r="D33" s="97" t="s">
        <v>209</v>
      </c>
      <c r="E33" s="29" t="s">
        <v>182</v>
      </c>
      <c r="F33" s="26" t="s">
        <v>762</v>
      </c>
      <c r="G33" s="86">
        <f>'Conversion factors BATT'!$B49</f>
        <v>0.76</v>
      </c>
      <c r="H33" s="86">
        <f>'Conversion factors BATT'!$B49</f>
        <v>0.76</v>
      </c>
      <c r="I33" s="86">
        <f>'Conversion factors BATT'!$B49</f>
        <v>0.76</v>
      </c>
      <c r="J33" s="86">
        <f>'Conversion factors BATT'!$B49</f>
        <v>0.76</v>
      </c>
      <c r="K33" s="86">
        <f>'Conversion factors BATT'!$B49</f>
        <v>0.76</v>
      </c>
      <c r="L33" s="86">
        <f>'Conversion factors BATT'!$B49</f>
        <v>0.76</v>
      </c>
      <c r="M33" s="86">
        <f>'Conversion factors BATT'!$B49</f>
        <v>0.76</v>
      </c>
      <c r="N33" s="86">
        <f>'Conversion factors BATT'!$B49</f>
        <v>0.76</v>
      </c>
      <c r="O33" s="86">
        <f>'Conversion factors BATT'!$B49</f>
        <v>0.76</v>
      </c>
      <c r="P33" s="86">
        <f>'Conversion factors BATT'!$B49</f>
        <v>0.76</v>
      </c>
      <c r="Q33" s="28"/>
      <c r="R33" s="28"/>
      <c r="S33" s="28"/>
      <c r="T33" s="28"/>
      <c r="U33" s="28"/>
      <c r="V33" s="28"/>
      <c r="W33" s="28"/>
      <c r="X33" s="28"/>
      <c r="Y33" s="28"/>
      <c r="Z33" s="28"/>
      <c r="AA33" s="28"/>
      <c r="AB33" s="28"/>
      <c r="AC33" s="28"/>
      <c r="AD33" s="28"/>
      <c r="AE33" s="28"/>
      <c r="AF33" s="26"/>
      <c r="AG33" s="28"/>
      <c r="AH33" s="28"/>
      <c r="AI33" s="28"/>
      <c r="AJ33" s="28"/>
      <c r="AK33" s="26"/>
    </row>
    <row r="34" spans="1:37" ht="40" customHeight="1" thickBot="1" x14ac:dyDescent="0.4">
      <c r="A34" s="29" t="s">
        <v>733</v>
      </c>
      <c r="B34" s="29" t="s">
        <v>749</v>
      </c>
      <c r="C34" s="29" t="s">
        <v>152</v>
      </c>
      <c r="D34" s="97" t="s">
        <v>184</v>
      </c>
      <c r="E34" s="29" t="s">
        <v>182</v>
      </c>
      <c r="F34" s="26" t="s">
        <v>762</v>
      </c>
      <c r="G34" s="86">
        <f>'Conversion factors BATT'!$B50</f>
        <v>0.1</v>
      </c>
      <c r="H34" s="86">
        <f>'Conversion factors BATT'!$B50</f>
        <v>0.1</v>
      </c>
      <c r="I34" s="86">
        <f>'Conversion factors BATT'!$B50</f>
        <v>0.1</v>
      </c>
      <c r="J34" s="86">
        <f>'Conversion factors BATT'!$B50</f>
        <v>0.1</v>
      </c>
      <c r="K34" s="86">
        <f>'Conversion factors BATT'!$B50</f>
        <v>0.1</v>
      </c>
      <c r="L34" s="86">
        <f>'Conversion factors BATT'!$B50</f>
        <v>0.1</v>
      </c>
      <c r="M34" s="86">
        <f>'Conversion factors BATT'!$B50</f>
        <v>0.1</v>
      </c>
      <c r="N34" s="86">
        <f>'Conversion factors BATT'!$B50</f>
        <v>0.1</v>
      </c>
      <c r="O34" s="86">
        <f>'Conversion factors BATT'!$B50</f>
        <v>0.1</v>
      </c>
      <c r="P34" s="86">
        <f>'Conversion factors BATT'!$B50</f>
        <v>0.1</v>
      </c>
      <c r="Q34" s="28"/>
      <c r="R34" s="28"/>
      <c r="S34" s="28"/>
      <c r="T34" s="28"/>
      <c r="U34" s="28"/>
      <c r="V34" s="28"/>
      <c r="W34" s="28"/>
      <c r="X34" s="28"/>
      <c r="Y34" s="28"/>
      <c r="Z34" s="28"/>
      <c r="AA34" s="28"/>
      <c r="AB34" s="28"/>
      <c r="AC34" s="28"/>
      <c r="AD34" s="28"/>
      <c r="AE34" s="28"/>
      <c r="AF34" s="26"/>
      <c r="AG34" s="28"/>
      <c r="AH34" s="28"/>
      <c r="AI34" s="28"/>
      <c r="AJ34" s="28"/>
      <c r="AK34" s="26"/>
    </row>
    <row r="35" spans="1:37" ht="32.5" customHeight="1" thickBot="1" x14ac:dyDescent="0.4">
      <c r="A35" s="29" t="s">
        <v>733</v>
      </c>
      <c r="B35" s="29" t="s">
        <v>734</v>
      </c>
      <c r="C35" s="29" t="s">
        <v>337</v>
      </c>
      <c r="D35" s="97" t="s">
        <v>334</v>
      </c>
      <c r="E35" s="29" t="s">
        <v>182</v>
      </c>
      <c r="F35" s="26" t="s">
        <v>762</v>
      </c>
      <c r="G35" s="86">
        <f>'Conversion factors BATT'!$B51</f>
        <v>0.19500000000000001</v>
      </c>
      <c r="H35" s="86">
        <f>'Conversion factors BATT'!$B51</f>
        <v>0.19500000000000001</v>
      </c>
      <c r="I35" s="86">
        <f>'Conversion factors BATT'!$B51</f>
        <v>0.19500000000000001</v>
      </c>
      <c r="J35" s="86">
        <f>'Conversion factors BATT'!$B51</f>
        <v>0.19500000000000001</v>
      </c>
      <c r="K35" s="86">
        <f>'Conversion factors BATT'!$B51</f>
        <v>0.19500000000000001</v>
      </c>
      <c r="L35" s="86">
        <f>'Conversion factors BATT'!$B51</f>
        <v>0.19500000000000001</v>
      </c>
      <c r="M35" s="86">
        <f>'Conversion factors BATT'!$B51</f>
        <v>0.19500000000000001</v>
      </c>
      <c r="N35" s="86">
        <f>'Conversion factors BATT'!$B51</f>
        <v>0.19500000000000001</v>
      </c>
      <c r="O35" s="86">
        <f>'Conversion factors BATT'!$B51</f>
        <v>0.19500000000000001</v>
      </c>
      <c r="P35" s="86">
        <f>'Conversion factors BATT'!$B51</f>
        <v>0.19500000000000001</v>
      </c>
      <c r="Q35" s="28"/>
      <c r="R35" s="28"/>
      <c r="S35" s="28"/>
      <c r="T35" s="28"/>
      <c r="U35" s="28"/>
      <c r="V35" s="28"/>
      <c r="W35" s="28"/>
      <c r="X35" s="28"/>
      <c r="Y35" s="28"/>
      <c r="Z35" s="28"/>
      <c r="AA35" s="28"/>
      <c r="AB35" s="28"/>
      <c r="AC35" s="28"/>
      <c r="AD35" s="28"/>
      <c r="AE35" s="28"/>
      <c r="AF35" s="26"/>
      <c r="AG35" s="28"/>
      <c r="AH35" s="28"/>
      <c r="AI35" s="28"/>
      <c r="AJ35" s="28"/>
      <c r="AK35" s="26"/>
    </row>
    <row r="36" spans="1:37" ht="32.5" customHeight="1" thickBot="1" x14ac:dyDescent="0.4">
      <c r="A36" s="29" t="s">
        <v>733</v>
      </c>
      <c r="B36" s="29" t="s">
        <v>735</v>
      </c>
      <c r="C36" s="29" t="s">
        <v>338</v>
      </c>
      <c r="D36" s="97" t="s">
        <v>335</v>
      </c>
      <c r="E36" s="29" t="s">
        <v>182</v>
      </c>
      <c r="F36" s="26" t="s">
        <v>762</v>
      </c>
      <c r="G36" s="86">
        <f>'Conversion factors BATT'!$B52</f>
        <v>0.49</v>
      </c>
      <c r="H36" s="86">
        <f>'Conversion factors BATT'!$B52</f>
        <v>0.49</v>
      </c>
      <c r="I36" s="86">
        <f>'Conversion factors BATT'!$B52</f>
        <v>0.49</v>
      </c>
      <c r="J36" s="86">
        <f>'Conversion factors BATT'!$B52</f>
        <v>0.49</v>
      </c>
      <c r="K36" s="86">
        <f>'Conversion factors BATT'!$B52</f>
        <v>0.49</v>
      </c>
      <c r="L36" s="86">
        <f>'Conversion factors BATT'!$B52</f>
        <v>0.49</v>
      </c>
      <c r="M36" s="86">
        <f>'Conversion factors BATT'!$B52</f>
        <v>0.49</v>
      </c>
      <c r="N36" s="86">
        <f>'Conversion factors BATT'!$B52</f>
        <v>0.49</v>
      </c>
      <c r="O36" s="86">
        <f>'Conversion factors BATT'!$B52</f>
        <v>0.49</v>
      </c>
      <c r="P36" s="86">
        <f>'Conversion factors BATT'!$B52</f>
        <v>0.49</v>
      </c>
      <c r="Q36" s="28"/>
      <c r="R36" s="28"/>
      <c r="S36" s="28"/>
      <c r="T36" s="28"/>
      <c r="U36" s="28"/>
      <c r="V36" s="28"/>
      <c r="W36" s="28"/>
      <c r="X36" s="28"/>
      <c r="Y36" s="28"/>
      <c r="Z36" s="28"/>
      <c r="AA36" s="28"/>
      <c r="AB36" s="28"/>
      <c r="AC36" s="28"/>
      <c r="AD36" s="28"/>
      <c r="AE36" s="28"/>
      <c r="AF36" s="26"/>
      <c r="AG36" s="28"/>
      <c r="AH36" s="28"/>
      <c r="AI36" s="28"/>
      <c r="AJ36" s="28"/>
      <c r="AK36" s="26"/>
    </row>
    <row r="37" spans="1:37" ht="13" thickBot="1" x14ac:dyDescent="0.4"/>
    <row r="38" spans="1:37" ht="26.15" customHeight="1" thickBot="1" x14ac:dyDescent="0.4">
      <c r="A38" s="112" t="s">
        <v>691</v>
      </c>
      <c r="B38" s="113"/>
      <c r="C38" s="113"/>
      <c r="D38" s="113"/>
      <c r="E38" s="113"/>
      <c r="F38" s="113"/>
      <c r="G38" s="113"/>
      <c r="H38" s="113"/>
      <c r="I38" s="113"/>
      <c r="J38" s="113"/>
      <c r="K38" s="113"/>
      <c r="L38" s="113"/>
      <c r="M38" s="113"/>
      <c r="N38" s="113"/>
      <c r="O38" s="113"/>
      <c r="P38" s="113"/>
      <c r="Q38" s="113"/>
      <c r="R38" s="113"/>
      <c r="S38" s="114"/>
      <c r="T38" s="114"/>
      <c r="U38" s="114"/>
      <c r="V38" s="114"/>
      <c r="W38" s="114"/>
      <c r="X38" s="114"/>
      <c r="Y38" s="114"/>
      <c r="Z38" s="114"/>
      <c r="AA38" s="114"/>
      <c r="AB38" s="114"/>
      <c r="AC38" s="114"/>
      <c r="AD38" s="114"/>
      <c r="AE38" s="114"/>
      <c r="AF38" s="114"/>
      <c r="AG38" s="115"/>
      <c r="AH38" s="115"/>
      <c r="AI38" s="113"/>
      <c r="AJ38" s="113"/>
      <c r="AK38" s="115"/>
    </row>
    <row r="39" spans="1:37" ht="53.5" customHeight="1" thickBot="1" x14ac:dyDescent="0.4">
      <c r="A39" s="29" t="s">
        <v>645</v>
      </c>
      <c r="B39" s="29" t="s">
        <v>646</v>
      </c>
      <c r="C39" s="29" t="s">
        <v>150</v>
      </c>
      <c r="D39" s="97" t="s">
        <v>323</v>
      </c>
      <c r="E39" s="23" t="s">
        <v>135</v>
      </c>
      <c r="F39" s="26" t="s">
        <v>107</v>
      </c>
      <c r="G39" s="83">
        <f>G$16*'Conversion factors BATT'!$B46</f>
        <v>6800</v>
      </c>
      <c r="H39" s="83">
        <f>H$16*'Conversion factors BATT'!$B46</f>
        <v>13600</v>
      </c>
      <c r="I39" s="83">
        <f>I$16*'Conversion factors BATT'!$B46</f>
        <v>13600</v>
      </c>
      <c r="J39" s="83">
        <f>J$16*'Conversion factors BATT'!$B46</f>
        <v>13600</v>
      </c>
      <c r="K39" s="83">
        <f>K$16*'Conversion factors BATT'!$B46</f>
        <v>13600</v>
      </c>
      <c r="L39" s="83">
        <f>L$16*'Conversion factors BATT'!$B46</f>
        <v>13600</v>
      </c>
      <c r="M39" s="83">
        <f>M$16*'Conversion factors BATT'!$B46</f>
        <v>13600</v>
      </c>
      <c r="N39" s="83">
        <f>N$16*'Conversion factors BATT'!$B46</f>
        <v>13600</v>
      </c>
      <c r="O39" s="83">
        <f>O$16*'Conversion factors BATT'!$B46</f>
        <v>13600</v>
      </c>
      <c r="P39" s="83">
        <f>P$16*'Conversion factors BATT'!$B46</f>
        <v>13600</v>
      </c>
      <c r="Q39" s="83">
        <f>Q$16*'Conversion factors BATT'!$B46</f>
        <v>129200</v>
      </c>
      <c r="R39" s="28"/>
      <c r="S39" s="88">
        <f>'Conversion factors BATT'!$B57*1000*'Conversion factors BATT'!$B$17*'Conversion factors BATT'!$B$6+'Conversion factors BATT'!$B60</f>
        <v>6.0200000000000005</v>
      </c>
      <c r="T39" s="83">
        <f>G39*$S39</f>
        <v>40936</v>
      </c>
      <c r="U39" s="83">
        <f t="shared" ref="U39:AC39" si="25">H39*$S39</f>
        <v>81872</v>
      </c>
      <c r="V39" s="83">
        <f t="shared" si="25"/>
        <v>81872</v>
      </c>
      <c r="W39" s="83">
        <f t="shared" si="25"/>
        <v>81872</v>
      </c>
      <c r="X39" s="83">
        <f t="shared" si="25"/>
        <v>81872</v>
      </c>
      <c r="Y39" s="83">
        <f t="shared" si="25"/>
        <v>81872</v>
      </c>
      <c r="Z39" s="83">
        <f t="shared" si="25"/>
        <v>81872</v>
      </c>
      <c r="AA39" s="83">
        <f t="shared" si="25"/>
        <v>81872</v>
      </c>
      <c r="AB39" s="83">
        <f t="shared" si="25"/>
        <v>81872</v>
      </c>
      <c r="AC39" s="83">
        <f t="shared" si="25"/>
        <v>81872</v>
      </c>
      <c r="AD39" s="83">
        <f>SUM(T39:AC39)</f>
        <v>777784</v>
      </c>
      <c r="AE39" s="28"/>
      <c r="AF39" s="26"/>
      <c r="AG39" s="28"/>
      <c r="AH39" s="28"/>
      <c r="AI39" s="28"/>
      <c r="AJ39" s="28"/>
      <c r="AK39" s="26"/>
    </row>
    <row r="40" spans="1:37" ht="53.5" customHeight="1" thickBot="1" x14ac:dyDescent="0.4">
      <c r="A40" s="29" t="s">
        <v>645</v>
      </c>
      <c r="B40" s="29" t="s">
        <v>647</v>
      </c>
      <c r="C40" s="29" t="s">
        <v>149</v>
      </c>
      <c r="D40" s="97" t="s">
        <v>324</v>
      </c>
      <c r="E40" s="23" t="s">
        <v>135</v>
      </c>
      <c r="F40" s="26" t="s">
        <v>107</v>
      </c>
      <c r="G40" s="83">
        <f>G$16*'Conversion factors BATT'!$B47</f>
        <v>7120</v>
      </c>
      <c r="H40" s="83">
        <f>H$16*'Conversion factors BATT'!$B47</f>
        <v>14240</v>
      </c>
      <c r="I40" s="83">
        <f>I$16*'Conversion factors BATT'!$B47</f>
        <v>14240</v>
      </c>
      <c r="J40" s="83">
        <f>J$16*'Conversion factors BATT'!$B47</f>
        <v>14240</v>
      </c>
      <c r="K40" s="83">
        <f>K$16*'Conversion factors BATT'!$B47</f>
        <v>14240</v>
      </c>
      <c r="L40" s="83">
        <f>L$16*'Conversion factors BATT'!$B47</f>
        <v>14240</v>
      </c>
      <c r="M40" s="83">
        <f>M$16*'Conversion factors BATT'!$B47</f>
        <v>14240</v>
      </c>
      <c r="N40" s="83">
        <f>N$16*'Conversion factors BATT'!$B47</f>
        <v>14240</v>
      </c>
      <c r="O40" s="83">
        <f>O$16*'Conversion factors BATT'!$B47</f>
        <v>14240</v>
      </c>
      <c r="P40" s="83">
        <f>P$16*'Conversion factors BATT'!$B47</f>
        <v>14240</v>
      </c>
      <c r="Q40" s="83">
        <f>Q$16*'Conversion factors BATT'!$B47</f>
        <v>135280</v>
      </c>
      <c r="R40" s="28"/>
      <c r="S40" s="88">
        <f>'Conversion factors BATT'!$B58*1000*'Conversion factors BATT'!$B$17*'Conversion factors BATT'!$B$6+'Conversion factors BATT'!$B61</f>
        <v>4.8199999999999994</v>
      </c>
      <c r="T40" s="83">
        <f t="shared" ref="T40:T45" si="26">G40*$S40</f>
        <v>34318.399999999994</v>
      </c>
      <c r="U40" s="83">
        <f t="shared" ref="U40:U45" si="27">H40*$S40</f>
        <v>68636.799999999988</v>
      </c>
      <c r="V40" s="83">
        <f t="shared" ref="V40:V45" si="28">I40*$S40</f>
        <v>68636.799999999988</v>
      </c>
      <c r="W40" s="83">
        <f t="shared" ref="W40:W45" si="29">J40*$S40</f>
        <v>68636.799999999988</v>
      </c>
      <c r="X40" s="83">
        <f t="shared" ref="X40:X45" si="30">K40*$S40</f>
        <v>68636.799999999988</v>
      </c>
      <c r="Y40" s="83">
        <f t="shared" ref="Y40:Y45" si="31">L40*$S40</f>
        <v>68636.799999999988</v>
      </c>
      <c r="Z40" s="83">
        <f t="shared" ref="Z40:Z45" si="32">M40*$S40</f>
        <v>68636.799999999988</v>
      </c>
      <c r="AA40" s="83">
        <f t="shared" ref="AA40:AA45" si="33">N40*$S40</f>
        <v>68636.799999999988</v>
      </c>
      <c r="AB40" s="83">
        <f t="shared" ref="AB40:AB45" si="34">O40*$S40</f>
        <v>68636.799999999988</v>
      </c>
      <c r="AC40" s="83">
        <f t="shared" ref="AC40:AC45" si="35">P40*$S40</f>
        <v>68636.799999999988</v>
      </c>
      <c r="AD40" s="83">
        <f t="shared" ref="AD40:AD44" si="36">SUM(T40:AC40)</f>
        <v>652049.59999999986</v>
      </c>
      <c r="AE40" s="28"/>
      <c r="AF40" s="26"/>
      <c r="AG40" s="28"/>
      <c r="AH40" s="28"/>
      <c r="AI40" s="28"/>
      <c r="AJ40" s="28"/>
      <c r="AK40" s="26"/>
    </row>
    <row r="41" spans="1:37" ht="53.5" customHeight="1" thickBot="1" x14ac:dyDescent="0.4">
      <c r="A41" s="29" t="s">
        <v>645</v>
      </c>
      <c r="B41" s="29" t="s">
        <v>648</v>
      </c>
      <c r="C41" s="29" t="s">
        <v>151</v>
      </c>
      <c r="D41" s="97" t="s">
        <v>325</v>
      </c>
      <c r="E41" s="23" t="s">
        <v>135</v>
      </c>
      <c r="F41" s="26" t="s">
        <v>107</v>
      </c>
      <c r="G41" s="83">
        <f>G$16*'Conversion factors BATT'!$B48</f>
        <v>3640</v>
      </c>
      <c r="H41" s="83">
        <f>H$16*'Conversion factors BATT'!$B48</f>
        <v>7280</v>
      </c>
      <c r="I41" s="83">
        <f>I$16*'Conversion factors BATT'!$B48</f>
        <v>7280</v>
      </c>
      <c r="J41" s="83">
        <f>J$16*'Conversion factors BATT'!$B48</f>
        <v>7280</v>
      </c>
      <c r="K41" s="83">
        <f>K$16*'Conversion factors BATT'!$B48</f>
        <v>7280</v>
      </c>
      <c r="L41" s="83">
        <f>L$16*'Conversion factors BATT'!$B48</f>
        <v>7280</v>
      </c>
      <c r="M41" s="83">
        <f>M$16*'Conversion factors BATT'!$B48</f>
        <v>7280</v>
      </c>
      <c r="N41" s="83">
        <f>N$16*'Conversion factors BATT'!$B48</f>
        <v>7280</v>
      </c>
      <c r="O41" s="83">
        <f>O$16*'Conversion factors BATT'!$B48</f>
        <v>7280</v>
      </c>
      <c r="P41" s="83">
        <f>P$16*'Conversion factors BATT'!$B48</f>
        <v>7280</v>
      </c>
      <c r="Q41" s="83">
        <f>Q$16*'Conversion factors BATT'!$B48</f>
        <v>69160</v>
      </c>
      <c r="R41" s="28"/>
      <c r="S41" s="88">
        <f>'Conversion factors BATT'!$B59*1000*'Conversion factors BATT'!$B$17*'Conversion factors BATT'!$B$6+'Conversion factors BATT'!$B62</f>
        <v>7.8599999999999994</v>
      </c>
      <c r="T41" s="83">
        <f t="shared" si="26"/>
        <v>28610.399999999998</v>
      </c>
      <c r="U41" s="83">
        <f t="shared" si="27"/>
        <v>57220.799999999996</v>
      </c>
      <c r="V41" s="83">
        <f t="shared" si="28"/>
        <v>57220.799999999996</v>
      </c>
      <c r="W41" s="83">
        <f t="shared" si="29"/>
        <v>57220.799999999996</v>
      </c>
      <c r="X41" s="83">
        <f t="shared" si="30"/>
        <v>57220.799999999996</v>
      </c>
      <c r="Y41" s="83">
        <f t="shared" si="31"/>
        <v>57220.799999999996</v>
      </c>
      <c r="Z41" s="83">
        <f t="shared" si="32"/>
        <v>57220.799999999996</v>
      </c>
      <c r="AA41" s="83">
        <f t="shared" si="33"/>
        <v>57220.799999999996</v>
      </c>
      <c r="AB41" s="83">
        <f t="shared" si="34"/>
        <v>57220.799999999996</v>
      </c>
      <c r="AC41" s="83">
        <f t="shared" si="35"/>
        <v>57220.799999999996</v>
      </c>
      <c r="AD41" s="83">
        <f t="shared" si="36"/>
        <v>543597.6</v>
      </c>
      <c r="AE41" s="28"/>
      <c r="AF41" s="26"/>
      <c r="AG41" s="28"/>
      <c r="AH41" s="28"/>
      <c r="AI41" s="28"/>
      <c r="AJ41" s="28"/>
      <c r="AK41" s="26"/>
    </row>
    <row r="42" spans="1:37" ht="53.5" customHeight="1" thickBot="1" x14ac:dyDescent="0.4">
      <c r="A42" s="29" t="s">
        <v>645</v>
      </c>
      <c r="B42" s="29" t="s">
        <v>649</v>
      </c>
      <c r="C42" s="29" t="s">
        <v>153</v>
      </c>
      <c r="D42" s="97" t="s">
        <v>326</v>
      </c>
      <c r="E42" s="23" t="s">
        <v>135</v>
      </c>
      <c r="F42" s="26" t="s">
        <v>107</v>
      </c>
      <c r="G42" s="83">
        <f>G$16*'Conversion factors BATT'!$B49</f>
        <v>3040</v>
      </c>
      <c r="H42" s="83">
        <f>H$16*'Conversion factors BATT'!$B49</f>
        <v>6080</v>
      </c>
      <c r="I42" s="83">
        <f>I$16*'Conversion factors BATT'!$B49</f>
        <v>6080</v>
      </c>
      <c r="J42" s="83">
        <f>J$16*'Conversion factors BATT'!$B49</f>
        <v>6080</v>
      </c>
      <c r="K42" s="83">
        <f>K$16*'Conversion factors BATT'!$B49</f>
        <v>6080</v>
      </c>
      <c r="L42" s="83">
        <f>L$16*'Conversion factors BATT'!$B49</f>
        <v>6080</v>
      </c>
      <c r="M42" s="83">
        <f>M$16*'Conversion factors BATT'!$B49</f>
        <v>6080</v>
      </c>
      <c r="N42" s="83">
        <f>N$16*'Conversion factors BATT'!$B49</f>
        <v>6080</v>
      </c>
      <c r="O42" s="83">
        <f>O$16*'Conversion factors BATT'!$B49</f>
        <v>6080</v>
      </c>
      <c r="P42" s="83">
        <f>P$16*'Conversion factors BATT'!$B49</f>
        <v>6080</v>
      </c>
      <c r="Q42" s="83">
        <f>Q$16*'Conversion factors BATT'!$B49</f>
        <v>57760</v>
      </c>
      <c r="R42" s="28"/>
      <c r="S42" s="88">
        <f>'Conversion factors BATT'!$B$63</f>
        <v>5.6</v>
      </c>
      <c r="T42" s="83">
        <f t="shared" si="26"/>
        <v>17024</v>
      </c>
      <c r="U42" s="83">
        <f t="shared" si="27"/>
        <v>34048</v>
      </c>
      <c r="V42" s="83">
        <f t="shared" si="28"/>
        <v>34048</v>
      </c>
      <c r="W42" s="83">
        <f t="shared" si="29"/>
        <v>34048</v>
      </c>
      <c r="X42" s="83">
        <f t="shared" si="30"/>
        <v>34048</v>
      </c>
      <c r="Y42" s="83">
        <f t="shared" si="31"/>
        <v>34048</v>
      </c>
      <c r="Z42" s="83">
        <f t="shared" si="32"/>
        <v>34048</v>
      </c>
      <c r="AA42" s="83">
        <f t="shared" si="33"/>
        <v>34048</v>
      </c>
      <c r="AB42" s="83">
        <f t="shared" si="34"/>
        <v>34048</v>
      </c>
      <c r="AC42" s="83">
        <f t="shared" si="35"/>
        <v>34048</v>
      </c>
      <c r="AD42" s="83">
        <f t="shared" si="36"/>
        <v>323456</v>
      </c>
      <c r="AE42" s="28"/>
      <c r="AF42" s="26"/>
      <c r="AG42" s="28"/>
      <c r="AH42" s="28"/>
      <c r="AI42" s="28"/>
      <c r="AJ42" s="28"/>
      <c r="AK42" s="26"/>
    </row>
    <row r="43" spans="1:37" ht="53.5" customHeight="1" thickBot="1" x14ac:dyDescent="0.4">
      <c r="A43" s="29" t="s">
        <v>645</v>
      </c>
      <c r="B43" s="29" t="s">
        <v>650</v>
      </c>
      <c r="C43" s="29" t="s">
        <v>152</v>
      </c>
      <c r="D43" s="97" t="s">
        <v>327</v>
      </c>
      <c r="E43" s="23" t="s">
        <v>135</v>
      </c>
      <c r="F43" s="26" t="s">
        <v>107</v>
      </c>
      <c r="G43" s="83">
        <f>G$16*'Conversion factors BATT'!$B50</f>
        <v>400</v>
      </c>
      <c r="H43" s="83">
        <f>H$16*'Conversion factors BATT'!$B50</f>
        <v>800</v>
      </c>
      <c r="I43" s="83">
        <f>I$16*'Conversion factors BATT'!$B50</f>
        <v>800</v>
      </c>
      <c r="J43" s="83">
        <f>J$16*'Conversion factors BATT'!$B50</f>
        <v>800</v>
      </c>
      <c r="K43" s="83">
        <f>K$16*'Conversion factors BATT'!$B50</f>
        <v>800</v>
      </c>
      <c r="L43" s="83">
        <f>L$16*'Conversion factors BATT'!$B50</f>
        <v>800</v>
      </c>
      <c r="M43" s="83">
        <f>M$16*'Conversion factors BATT'!$B50</f>
        <v>800</v>
      </c>
      <c r="N43" s="83">
        <f>N$16*'Conversion factors BATT'!$B50</f>
        <v>800</v>
      </c>
      <c r="O43" s="83">
        <f>O$16*'Conversion factors BATT'!$B50</f>
        <v>800</v>
      </c>
      <c r="P43" s="83">
        <f>P$16*'Conversion factors BATT'!$B50</f>
        <v>800</v>
      </c>
      <c r="Q43" s="83">
        <f>Q$16*'Conversion factors BATT'!$B50</f>
        <v>7600</v>
      </c>
      <c r="R43" s="28"/>
      <c r="S43" s="88">
        <f>'Conversion factors BATT'!$B$64</f>
        <v>34</v>
      </c>
      <c r="T43" s="83">
        <f t="shared" si="26"/>
        <v>13600</v>
      </c>
      <c r="U43" s="83">
        <f t="shared" si="27"/>
        <v>27200</v>
      </c>
      <c r="V43" s="83">
        <f t="shared" si="28"/>
        <v>27200</v>
      </c>
      <c r="W43" s="83">
        <f t="shared" si="29"/>
        <v>27200</v>
      </c>
      <c r="X43" s="83">
        <f t="shared" si="30"/>
        <v>27200</v>
      </c>
      <c r="Y43" s="83">
        <f t="shared" si="31"/>
        <v>27200</v>
      </c>
      <c r="Z43" s="83">
        <f t="shared" si="32"/>
        <v>27200</v>
      </c>
      <c r="AA43" s="83">
        <f t="shared" si="33"/>
        <v>27200</v>
      </c>
      <c r="AB43" s="83">
        <f t="shared" si="34"/>
        <v>27200</v>
      </c>
      <c r="AC43" s="83">
        <f t="shared" si="35"/>
        <v>27200</v>
      </c>
      <c r="AD43" s="83">
        <f t="shared" si="36"/>
        <v>258400</v>
      </c>
      <c r="AE43" s="28"/>
      <c r="AF43" s="26"/>
      <c r="AG43" s="28"/>
      <c r="AH43" s="28"/>
      <c r="AI43" s="28"/>
      <c r="AJ43" s="28"/>
      <c r="AK43" s="26"/>
    </row>
    <row r="44" spans="1:37" ht="53.5" customHeight="1" thickBot="1" x14ac:dyDescent="0.4">
      <c r="A44" s="29" t="s">
        <v>645</v>
      </c>
      <c r="B44" s="29" t="s">
        <v>651</v>
      </c>
      <c r="C44" s="29" t="s">
        <v>176</v>
      </c>
      <c r="D44" s="97" t="s">
        <v>340</v>
      </c>
      <c r="E44" s="23" t="s">
        <v>135</v>
      </c>
      <c r="F44" s="26" t="s">
        <v>107</v>
      </c>
      <c r="G44" s="83">
        <f>G$16*'Conversion factors BATT'!$B51</f>
        <v>780</v>
      </c>
      <c r="H44" s="83">
        <f>H$16*'Conversion factors BATT'!$B51</f>
        <v>1560</v>
      </c>
      <c r="I44" s="83">
        <f>I$16*'Conversion factors BATT'!$B51</f>
        <v>1560</v>
      </c>
      <c r="J44" s="83">
        <f>J$16*'Conversion factors BATT'!$B51</f>
        <v>1560</v>
      </c>
      <c r="K44" s="83">
        <f>K$16*'Conversion factors BATT'!$B51</f>
        <v>1560</v>
      </c>
      <c r="L44" s="83">
        <f>L$16*'Conversion factors BATT'!$B51</f>
        <v>1560</v>
      </c>
      <c r="M44" s="83">
        <f>M$16*'Conversion factors BATT'!$B51</f>
        <v>1560</v>
      </c>
      <c r="N44" s="83">
        <f>N$16*'Conversion factors BATT'!$B51</f>
        <v>1560</v>
      </c>
      <c r="O44" s="83">
        <f>O$16*'Conversion factors BATT'!$B51</f>
        <v>1560</v>
      </c>
      <c r="P44" s="83">
        <f>P$16*'Conversion factors BATT'!$B51</f>
        <v>1560</v>
      </c>
      <c r="Q44" s="83">
        <f t="shared" ref="Q44" si="37">SUM(G44:P44)</f>
        <v>14820</v>
      </c>
      <c r="R44" s="28"/>
      <c r="S44" s="88">
        <f>'Conversion factors BATT'!$B$65</f>
        <v>12.3</v>
      </c>
      <c r="T44" s="83">
        <f t="shared" si="26"/>
        <v>9594</v>
      </c>
      <c r="U44" s="83">
        <f t="shared" si="27"/>
        <v>19188</v>
      </c>
      <c r="V44" s="83">
        <f t="shared" si="28"/>
        <v>19188</v>
      </c>
      <c r="W44" s="83">
        <f t="shared" si="29"/>
        <v>19188</v>
      </c>
      <c r="X44" s="83">
        <f t="shared" si="30"/>
        <v>19188</v>
      </c>
      <c r="Y44" s="83">
        <f t="shared" si="31"/>
        <v>19188</v>
      </c>
      <c r="Z44" s="83">
        <f t="shared" si="32"/>
        <v>19188</v>
      </c>
      <c r="AA44" s="83">
        <f t="shared" si="33"/>
        <v>19188</v>
      </c>
      <c r="AB44" s="83">
        <f t="shared" si="34"/>
        <v>19188</v>
      </c>
      <c r="AC44" s="83">
        <f t="shared" si="35"/>
        <v>19188</v>
      </c>
      <c r="AD44" s="83">
        <f t="shared" si="36"/>
        <v>182286</v>
      </c>
      <c r="AE44" s="28"/>
      <c r="AF44" s="26"/>
      <c r="AG44" s="28"/>
      <c r="AH44" s="28"/>
      <c r="AI44" s="28"/>
      <c r="AJ44" s="28"/>
      <c r="AK44" s="26"/>
    </row>
    <row r="45" spans="1:37" ht="53.5" customHeight="1" thickBot="1" x14ac:dyDescent="0.4">
      <c r="A45" s="29" t="s">
        <v>645</v>
      </c>
      <c r="B45" s="29" t="s">
        <v>652</v>
      </c>
      <c r="C45" s="29" t="s">
        <v>336</v>
      </c>
      <c r="D45" s="97" t="s">
        <v>339</v>
      </c>
      <c r="E45" s="23" t="s">
        <v>135</v>
      </c>
      <c r="F45" s="26" t="s">
        <v>107</v>
      </c>
      <c r="G45" s="83">
        <f>G$16*'Conversion factors BATT'!$B52</f>
        <v>1960</v>
      </c>
      <c r="H45" s="83">
        <f>H$16*'Conversion factors BATT'!$B52</f>
        <v>3920</v>
      </c>
      <c r="I45" s="83">
        <f>I$16*'Conversion factors BATT'!$B52</f>
        <v>3920</v>
      </c>
      <c r="J45" s="83">
        <f>J$16*'Conversion factors BATT'!$B52</f>
        <v>3920</v>
      </c>
      <c r="K45" s="83">
        <f>K$16*'Conversion factors BATT'!$B52</f>
        <v>3920</v>
      </c>
      <c r="L45" s="83">
        <f>L$16*'Conversion factors BATT'!$B52</f>
        <v>3920</v>
      </c>
      <c r="M45" s="83">
        <f>M$16*'Conversion factors BATT'!$B52</f>
        <v>3920</v>
      </c>
      <c r="N45" s="83">
        <f>N$16*'Conversion factors BATT'!$B52</f>
        <v>3920</v>
      </c>
      <c r="O45" s="83">
        <f>O$16*'Conversion factors BATT'!$B52</f>
        <v>3920</v>
      </c>
      <c r="P45" s="83">
        <f>P$16*'Conversion factors BATT'!$B52</f>
        <v>3920</v>
      </c>
      <c r="Q45" s="83">
        <f t="shared" ref="Q45" si="38">SUM(G45:P45)</f>
        <v>37240</v>
      </c>
      <c r="R45" s="28"/>
      <c r="S45" s="88">
        <f>'Conversion factors BATT'!$B$66</f>
        <v>6.45</v>
      </c>
      <c r="T45" s="83">
        <f t="shared" si="26"/>
        <v>12642</v>
      </c>
      <c r="U45" s="83">
        <f t="shared" si="27"/>
        <v>25284</v>
      </c>
      <c r="V45" s="83">
        <f t="shared" si="28"/>
        <v>25284</v>
      </c>
      <c r="W45" s="83">
        <f t="shared" si="29"/>
        <v>25284</v>
      </c>
      <c r="X45" s="83">
        <f t="shared" si="30"/>
        <v>25284</v>
      </c>
      <c r="Y45" s="83">
        <f t="shared" si="31"/>
        <v>25284</v>
      </c>
      <c r="Z45" s="83">
        <f t="shared" si="32"/>
        <v>25284</v>
      </c>
      <c r="AA45" s="83">
        <f t="shared" si="33"/>
        <v>25284</v>
      </c>
      <c r="AB45" s="83">
        <f t="shared" si="34"/>
        <v>25284</v>
      </c>
      <c r="AC45" s="83">
        <f t="shared" si="35"/>
        <v>25284</v>
      </c>
      <c r="AD45" s="83">
        <f t="shared" ref="AD45" si="39">SUM(T45:AC45)</f>
        <v>240198</v>
      </c>
      <c r="AE45" s="28"/>
      <c r="AF45" s="26"/>
      <c r="AG45" s="28"/>
      <c r="AH45" s="28"/>
      <c r="AI45" s="28"/>
      <c r="AJ45" s="28"/>
      <c r="AK45" s="26"/>
    </row>
    <row r="46" spans="1:37" ht="42.65" customHeight="1" thickBot="1" x14ac:dyDescent="0.4">
      <c r="A46" s="109"/>
      <c r="B46" s="109"/>
      <c r="C46" s="110"/>
      <c r="D46" s="111" t="s">
        <v>211</v>
      </c>
      <c r="E46" s="110" t="s">
        <v>158</v>
      </c>
      <c r="F46" s="79"/>
      <c r="G46" s="79"/>
      <c r="H46" s="79"/>
      <c r="I46" s="79"/>
      <c r="J46" s="79"/>
      <c r="K46" s="79"/>
      <c r="L46" s="79"/>
      <c r="M46" s="79"/>
      <c r="N46" s="79"/>
      <c r="O46" s="79"/>
      <c r="P46" s="79"/>
      <c r="Q46" s="79"/>
      <c r="R46" s="79"/>
      <c r="S46" s="79"/>
      <c r="T46" s="83">
        <f>SUM(T39:T45)</f>
        <v>156724.79999999999</v>
      </c>
      <c r="U46" s="83">
        <f t="shared" ref="U46:AC46" si="40">SUM(U39:U45)</f>
        <v>313449.59999999998</v>
      </c>
      <c r="V46" s="83">
        <f t="shared" si="40"/>
        <v>313449.59999999998</v>
      </c>
      <c r="W46" s="83">
        <f t="shared" si="40"/>
        <v>313449.59999999998</v>
      </c>
      <c r="X46" s="83">
        <f t="shared" si="40"/>
        <v>313449.59999999998</v>
      </c>
      <c r="Y46" s="83">
        <f t="shared" si="40"/>
        <v>313449.59999999998</v>
      </c>
      <c r="Z46" s="83">
        <f t="shared" si="40"/>
        <v>313449.59999999998</v>
      </c>
      <c r="AA46" s="83">
        <f t="shared" si="40"/>
        <v>313449.59999999998</v>
      </c>
      <c r="AB46" s="83">
        <f t="shared" si="40"/>
        <v>313449.59999999998</v>
      </c>
      <c r="AC46" s="83">
        <f t="shared" si="40"/>
        <v>313449.59999999998</v>
      </c>
      <c r="AD46" s="83">
        <f>SUM(T46:AC46)</f>
        <v>2977771.2000000007</v>
      </c>
      <c r="AE46" s="28"/>
      <c r="AF46" s="26"/>
      <c r="AG46" s="28"/>
      <c r="AH46" s="28"/>
      <c r="AI46" s="28"/>
      <c r="AJ46" s="28"/>
      <c r="AK46" s="26"/>
    </row>
    <row r="47" spans="1:37" ht="13" thickBot="1" x14ac:dyDescent="0.4"/>
    <row r="48" spans="1:37" ht="26.15" customHeight="1" thickBot="1" x14ac:dyDescent="0.4">
      <c r="A48" s="112" t="s">
        <v>685</v>
      </c>
      <c r="B48" s="113"/>
      <c r="C48" s="113"/>
      <c r="D48" s="113"/>
      <c r="E48" s="113"/>
      <c r="F48" s="113"/>
      <c r="G48" s="113"/>
      <c r="H48" s="113"/>
      <c r="I48" s="113"/>
      <c r="J48" s="113"/>
      <c r="K48" s="113"/>
      <c r="L48" s="113"/>
      <c r="M48" s="113"/>
      <c r="N48" s="113"/>
      <c r="O48" s="113"/>
      <c r="P48" s="113"/>
      <c r="Q48" s="113"/>
      <c r="R48" s="113"/>
      <c r="S48" s="114"/>
      <c r="T48" s="114"/>
      <c r="U48" s="114"/>
      <c r="V48" s="114"/>
      <c r="W48" s="114"/>
      <c r="X48" s="114"/>
      <c r="Y48" s="114"/>
      <c r="Z48" s="114"/>
      <c r="AA48" s="114"/>
      <c r="AB48" s="114"/>
      <c r="AC48" s="114"/>
      <c r="AD48" s="114"/>
      <c r="AE48" s="114"/>
      <c r="AF48" s="114"/>
      <c r="AG48" s="115"/>
      <c r="AH48" s="115"/>
      <c r="AI48" s="113"/>
      <c r="AJ48" s="113"/>
      <c r="AK48" s="115"/>
    </row>
    <row r="49" spans="1:37" ht="31" customHeight="1" thickBot="1" x14ac:dyDescent="0.4">
      <c r="A49" s="23" t="s">
        <v>373</v>
      </c>
      <c r="B49" s="23" t="s">
        <v>374</v>
      </c>
      <c r="C49" s="23" t="s">
        <v>134</v>
      </c>
      <c r="D49" s="22" t="s">
        <v>482</v>
      </c>
      <c r="E49" s="23" t="s">
        <v>175</v>
      </c>
      <c r="F49" s="26"/>
      <c r="G49" s="94">
        <f>IF(2031-Summary!$B$10-0&gt;0,0,IF(2036-Summary!$B$10-0&gt;0,0.06,0.12))</f>
        <v>0</v>
      </c>
      <c r="H49" s="94">
        <f>IF(2031-Summary!$B$10-1&gt;0,0,IF(2036-Summary!$B$10-1&gt;0,0.06,0.12))</f>
        <v>0</v>
      </c>
      <c r="I49" s="94">
        <f>IF(2031-Summary!$B$10-2&gt;0,0,IF(2036-Summary!$B$10-2&gt;0,0.06,0.12))</f>
        <v>0</v>
      </c>
      <c r="J49" s="94">
        <f>IF(2031-Summary!$B$10-3&gt;0,0,IF(2036-Summary!$B$10-3&gt;0,0.06,0.12))</f>
        <v>0</v>
      </c>
      <c r="K49" s="94">
        <f>IF(2031-Summary!$B$10-4&gt;0,0,IF(2036-Summary!$B$10-4&gt;0,0.06,0.12))</f>
        <v>0.06</v>
      </c>
      <c r="L49" s="94">
        <f>IF(2031-Summary!$B$10-5&gt;0,0,IF(2036-Summary!$B$10-5&gt;0,0.06,0.12))</f>
        <v>0.06</v>
      </c>
      <c r="M49" s="94">
        <f>IF(2031-Summary!$B$10-6&gt;0,0,IF(2036-Summary!$B$10-6&gt;0,0.06,0.12))</f>
        <v>0.06</v>
      </c>
      <c r="N49" s="94">
        <f>IF(2031-Summary!$B$10-7&gt;0,0,IF(2036-Summary!$B$10-7&gt;0,0.06,0.12))</f>
        <v>0.06</v>
      </c>
      <c r="O49" s="94">
        <f>IF(2031-Summary!$B$10-8&gt;0,0,IF(2036-Summary!$B$10-8&gt;0,0.06,0.12))</f>
        <v>0.06</v>
      </c>
      <c r="P49" s="94">
        <f>IF(2031-Summary!$B$10-9&gt;0,0,IF(2036-Summary!$B$10-9&gt;0,0.06,0.12))</f>
        <v>0.12</v>
      </c>
      <c r="Q49" s="28"/>
      <c r="R49" s="28"/>
      <c r="S49" s="28"/>
      <c r="T49" s="28"/>
      <c r="U49" s="28"/>
      <c r="V49" s="28"/>
      <c r="W49" s="28"/>
      <c r="X49" s="28"/>
      <c r="Y49" s="28"/>
      <c r="Z49" s="28"/>
      <c r="AA49" s="28"/>
      <c r="AB49" s="28"/>
      <c r="AC49" s="28"/>
      <c r="AD49" s="28"/>
      <c r="AE49" s="28"/>
      <c r="AF49" s="26"/>
      <c r="AG49" s="28"/>
      <c r="AH49" s="28"/>
      <c r="AI49" s="28"/>
      <c r="AJ49" s="28"/>
      <c r="AK49" s="26"/>
    </row>
    <row r="50" spans="1:37" ht="31" customHeight="1" thickBot="1" x14ac:dyDescent="0.4">
      <c r="A50" s="23" t="s">
        <v>373</v>
      </c>
      <c r="B50" s="23" t="s">
        <v>386</v>
      </c>
      <c r="C50" s="23" t="s">
        <v>148</v>
      </c>
      <c r="D50" s="22" t="s">
        <v>495</v>
      </c>
      <c r="E50" s="23" t="s">
        <v>175</v>
      </c>
      <c r="F50" s="26"/>
      <c r="G50" s="94">
        <v>0</v>
      </c>
      <c r="H50" s="94">
        <v>0</v>
      </c>
      <c r="I50" s="94">
        <v>0</v>
      </c>
      <c r="J50" s="94">
        <v>0</v>
      </c>
      <c r="K50" s="94">
        <v>0</v>
      </c>
      <c r="L50" s="94">
        <v>0</v>
      </c>
      <c r="M50" s="94">
        <v>0</v>
      </c>
      <c r="N50" s="94">
        <v>0</v>
      </c>
      <c r="O50" s="94">
        <v>0</v>
      </c>
      <c r="P50" s="94">
        <v>0</v>
      </c>
      <c r="Q50" s="28"/>
      <c r="R50" s="28"/>
      <c r="S50" s="28"/>
      <c r="T50" s="28"/>
      <c r="U50" s="28"/>
      <c r="V50" s="28"/>
      <c r="W50" s="28"/>
      <c r="X50" s="28"/>
      <c r="Y50" s="28"/>
      <c r="Z50" s="28"/>
      <c r="AA50" s="28"/>
      <c r="AB50" s="28"/>
      <c r="AC50" s="28"/>
      <c r="AD50" s="28"/>
      <c r="AE50" s="28"/>
      <c r="AF50" s="26"/>
      <c r="AG50" s="28"/>
      <c r="AH50" s="28"/>
      <c r="AI50" s="28"/>
      <c r="AJ50" s="28"/>
      <c r="AK50" s="26"/>
    </row>
    <row r="51" spans="1:37" ht="31" customHeight="1" thickBot="1" x14ac:dyDescent="0.4">
      <c r="A51" s="23" t="s">
        <v>373</v>
      </c>
      <c r="B51" s="23" t="s">
        <v>375</v>
      </c>
      <c r="C51" s="23" t="s">
        <v>147</v>
      </c>
      <c r="D51" s="22" t="s">
        <v>483</v>
      </c>
      <c r="E51" s="23" t="s">
        <v>175</v>
      </c>
      <c r="F51" s="26"/>
      <c r="G51" s="94">
        <v>0</v>
      </c>
      <c r="H51" s="94">
        <v>0</v>
      </c>
      <c r="I51" s="94">
        <v>0</v>
      </c>
      <c r="J51" s="94">
        <v>0</v>
      </c>
      <c r="K51" s="94">
        <v>0</v>
      </c>
      <c r="L51" s="94">
        <v>0</v>
      </c>
      <c r="M51" s="94">
        <v>0</v>
      </c>
      <c r="N51" s="94">
        <v>0</v>
      </c>
      <c r="O51" s="94">
        <v>0</v>
      </c>
      <c r="P51" s="94">
        <v>0</v>
      </c>
      <c r="Q51" s="28"/>
      <c r="R51" s="28"/>
      <c r="S51" s="28"/>
      <c r="T51" s="28"/>
      <c r="U51" s="28"/>
      <c r="V51" s="28"/>
      <c r="W51" s="28"/>
      <c r="X51" s="28"/>
      <c r="Y51" s="28"/>
      <c r="Z51" s="28"/>
      <c r="AA51" s="28"/>
      <c r="AB51" s="28"/>
      <c r="AC51" s="28"/>
      <c r="AD51" s="28"/>
      <c r="AE51" s="28"/>
      <c r="AF51" s="26"/>
      <c r="AG51" s="28"/>
      <c r="AH51" s="28"/>
      <c r="AI51" s="28"/>
      <c r="AJ51" s="28"/>
      <c r="AK51" s="26"/>
    </row>
    <row r="52" spans="1:37" ht="31" customHeight="1" thickBot="1" x14ac:dyDescent="0.4">
      <c r="A52" s="23" t="s">
        <v>373</v>
      </c>
      <c r="B52" s="23" t="s">
        <v>376</v>
      </c>
      <c r="C52" s="23" t="s">
        <v>136</v>
      </c>
      <c r="D52" s="22" t="s">
        <v>484</v>
      </c>
      <c r="E52" s="23" t="s">
        <v>175</v>
      </c>
      <c r="F52" s="26"/>
      <c r="G52" s="94">
        <v>0</v>
      </c>
      <c r="H52" s="94">
        <v>0</v>
      </c>
      <c r="I52" s="94">
        <v>0</v>
      </c>
      <c r="J52" s="94">
        <v>0</v>
      </c>
      <c r="K52" s="94">
        <v>0</v>
      </c>
      <c r="L52" s="94">
        <v>0</v>
      </c>
      <c r="M52" s="94">
        <v>0</v>
      </c>
      <c r="N52" s="94">
        <v>0</v>
      </c>
      <c r="O52" s="94">
        <v>0</v>
      </c>
      <c r="P52" s="94">
        <v>0</v>
      </c>
      <c r="Q52" s="28"/>
      <c r="R52" s="28"/>
      <c r="S52" s="28"/>
      <c r="T52" s="28"/>
      <c r="U52" s="28"/>
      <c r="V52" s="28"/>
      <c r="W52" s="28"/>
      <c r="X52" s="28"/>
      <c r="Y52" s="28"/>
      <c r="Z52" s="28"/>
      <c r="AA52" s="28"/>
      <c r="AB52" s="28"/>
      <c r="AC52" s="28"/>
      <c r="AD52" s="28"/>
      <c r="AE52" s="28"/>
      <c r="AF52" s="26"/>
      <c r="AG52" s="28"/>
      <c r="AH52" s="28"/>
      <c r="AI52" s="28"/>
      <c r="AJ52" s="28"/>
      <c r="AK52" s="26"/>
    </row>
    <row r="53" spans="1:37" ht="31" customHeight="1" thickBot="1" x14ac:dyDescent="0.4">
      <c r="A53" s="23" t="s">
        <v>373</v>
      </c>
      <c r="B53" s="23" t="s">
        <v>377</v>
      </c>
      <c r="C53" s="23" t="s">
        <v>137</v>
      </c>
      <c r="D53" s="22" t="s">
        <v>485</v>
      </c>
      <c r="E53" s="23" t="s">
        <v>175</v>
      </c>
      <c r="F53" s="26"/>
      <c r="G53" s="94">
        <v>0</v>
      </c>
      <c r="H53" s="94">
        <v>0</v>
      </c>
      <c r="I53" s="94">
        <v>0</v>
      </c>
      <c r="J53" s="94">
        <v>0</v>
      </c>
      <c r="K53" s="94">
        <v>0</v>
      </c>
      <c r="L53" s="94">
        <v>0</v>
      </c>
      <c r="M53" s="94">
        <v>0</v>
      </c>
      <c r="N53" s="94">
        <v>0</v>
      </c>
      <c r="O53" s="94">
        <v>0</v>
      </c>
      <c r="P53" s="94">
        <v>0</v>
      </c>
      <c r="Q53" s="28"/>
      <c r="R53" s="28"/>
      <c r="S53" s="28"/>
      <c r="T53" s="28"/>
      <c r="U53" s="28"/>
      <c r="V53" s="28"/>
      <c r="W53" s="28"/>
      <c r="X53" s="28"/>
      <c r="Y53" s="28"/>
      <c r="Z53" s="28"/>
      <c r="AA53" s="28"/>
      <c r="AB53" s="28"/>
      <c r="AC53" s="28"/>
      <c r="AD53" s="28"/>
      <c r="AE53" s="28"/>
      <c r="AF53" s="26"/>
      <c r="AG53" s="28"/>
      <c r="AH53" s="28"/>
      <c r="AI53" s="28"/>
      <c r="AJ53" s="28"/>
      <c r="AK53" s="26"/>
    </row>
    <row r="54" spans="1:37" ht="31" customHeight="1" thickBot="1" x14ac:dyDescent="0.4">
      <c r="A54" s="23" t="s">
        <v>373</v>
      </c>
      <c r="B54" s="23" t="s">
        <v>596</v>
      </c>
      <c r="C54" s="23" t="s">
        <v>523</v>
      </c>
      <c r="D54" s="22" t="s">
        <v>597</v>
      </c>
      <c r="E54" s="23" t="s">
        <v>175</v>
      </c>
      <c r="F54" s="26"/>
      <c r="G54" s="94">
        <v>0</v>
      </c>
      <c r="H54" s="94">
        <v>0</v>
      </c>
      <c r="I54" s="94">
        <v>0</v>
      </c>
      <c r="J54" s="94">
        <v>0</v>
      </c>
      <c r="K54" s="94">
        <v>0</v>
      </c>
      <c r="L54" s="94">
        <v>0</v>
      </c>
      <c r="M54" s="94">
        <v>0</v>
      </c>
      <c r="N54" s="94">
        <v>0</v>
      </c>
      <c r="O54" s="94">
        <v>0</v>
      </c>
      <c r="P54" s="94">
        <v>0</v>
      </c>
      <c r="Q54" s="28"/>
      <c r="R54" s="28"/>
      <c r="S54" s="28"/>
      <c r="T54" s="28"/>
      <c r="U54" s="28"/>
      <c r="V54" s="28"/>
      <c r="W54" s="28"/>
      <c r="X54" s="28"/>
      <c r="Y54" s="28"/>
      <c r="Z54" s="28"/>
      <c r="AA54" s="28"/>
      <c r="AB54" s="28"/>
      <c r="AC54" s="28"/>
      <c r="AD54" s="28"/>
      <c r="AE54" s="28"/>
      <c r="AF54" s="26"/>
      <c r="AG54" s="28"/>
      <c r="AH54" s="28"/>
      <c r="AI54" s="28"/>
      <c r="AJ54" s="28"/>
      <c r="AK54" s="26"/>
    </row>
    <row r="55" spans="1:37" ht="31" customHeight="1" thickBot="1" x14ac:dyDescent="0.4">
      <c r="A55" s="23" t="s">
        <v>373</v>
      </c>
      <c r="B55" s="23" t="s">
        <v>385</v>
      </c>
      <c r="C55" s="23" t="s">
        <v>146</v>
      </c>
      <c r="D55" s="22" t="s">
        <v>494</v>
      </c>
      <c r="E55" s="23" t="s">
        <v>175</v>
      </c>
      <c r="F55" s="26"/>
      <c r="G55" s="94">
        <v>0</v>
      </c>
      <c r="H55" s="94">
        <v>0</v>
      </c>
      <c r="I55" s="94">
        <v>0</v>
      </c>
      <c r="J55" s="94">
        <v>0</v>
      </c>
      <c r="K55" s="94">
        <v>0</v>
      </c>
      <c r="L55" s="94">
        <v>0</v>
      </c>
      <c r="M55" s="94">
        <v>0</v>
      </c>
      <c r="N55" s="94">
        <v>0</v>
      </c>
      <c r="O55" s="94">
        <v>0</v>
      </c>
      <c r="P55" s="94">
        <v>0</v>
      </c>
      <c r="Q55" s="28"/>
      <c r="R55" s="28"/>
      <c r="S55" s="28"/>
      <c r="T55" s="28"/>
      <c r="U55" s="28"/>
      <c r="V55" s="28"/>
      <c r="W55" s="28"/>
      <c r="X55" s="28"/>
      <c r="Y55" s="28"/>
      <c r="Z55" s="28"/>
      <c r="AA55" s="28"/>
      <c r="AB55" s="28"/>
      <c r="AC55" s="28"/>
      <c r="AD55" s="28"/>
      <c r="AE55" s="28"/>
      <c r="AF55" s="26"/>
      <c r="AG55" s="28"/>
      <c r="AH55" s="28"/>
      <c r="AI55" s="28"/>
      <c r="AJ55" s="28"/>
      <c r="AK55" s="26"/>
    </row>
    <row r="56" spans="1:37" ht="31" customHeight="1" thickBot="1" x14ac:dyDescent="0.4">
      <c r="A56" s="23" t="s">
        <v>373</v>
      </c>
      <c r="B56" s="23" t="s">
        <v>598</v>
      </c>
      <c r="C56" s="23" t="s">
        <v>532</v>
      </c>
      <c r="D56" s="22" t="s">
        <v>534</v>
      </c>
      <c r="E56" s="23" t="s">
        <v>175</v>
      </c>
      <c r="F56" s="26"/>
      <c r="G56" s="94">
        <v>0</v>
      </c>
      <c r="H56" s="94">
        <v>0</v>
      </c>
      <c r="I56" s="94">
        <v>0</v>
      </c>
      <c r="J56" s="94">
        <v>0</v>
      </c>
      <c r="K56" s="94">
        <v>0</v>
      </c>
      <c r="L56" s="94">
        <v>0</v>
      </c>
      <c r="M56" s="94">
        <v>0</v>
      </c>
      <c r="N56" s="94">
        <v>0</v>
      </c>
      <c r="O56" s="94">
        <v>0</v>
      </c>
      <c r="P56" s="94">
        <v>0</v>
      </c>
      <c r="Q56" s="28"/>
      <c r="R56" s="28"/>
      <c r="S56" s="28"/>
      <c r="T56" s="28"/>
      <c r="U56" s="28"/>
      <c r="V56" s="28"/>
      <c r="W56" s="28"/>
      <c r="X56" s="28"/>
      <c r="Y56" s="28"/>
      <c r="Z56" s="28"/>
      <c r="AA56" s="28"/>
      <c r="AB56" s="28"/>
      <c r="AC56" s="28"/>
      <c r="AD56" s="28"/>
      <c r="AE56" s="28"/>
      <c r="AF56" s="26"/>
      <c r="AG56" s="28"/>
      <c r="AH56" s="28"/>
      <c r="AI56" s="28"/>
      <c r="AJ56" s="28"/>
      <c r="AK56" s="26"/>
    </row>
    <row r="57" spans="1:37" ht="31" customHeight="1" thickBot="1" x14ac:dyDescent="0.4">
      <c r="A57" s="23" t="s">
        <v>373</v>
      </c>
      <c r="B57" s="23" t="s">
        <v>402</v>
      </c>
      <c r="C57" s="23" t="s">
        <v>138</v>
      </c>
      <c r="D57" s="22" t="s">
        <v>486</v>
      </c>
      <c r="E57" s="23" t="s">
        <v>175</v>
      </c>
      <c r="F57" s="26"/>
      <c r="G57" s="94">
        <v>0</v>
      </c>
      <c r="H57" s="94">
        <v>0</v>
      </c>
      <c r="I57" s="94">
        <v>0</v>
      </c>
      <c r="J57" s="94">
        <v>0</v>
      </c>
      <c r="K57" s="94">
        <v>0</v>
      </c>
      <c r="L57" s="94">
        <v>0</v>
      </c>
      <c r="M57" s="94">
        <v>0</v>
      </c>
      <c r="N57" s="94">
        <v>0</v>
      </c>
      <c r="O57" s="94">
        <v>0</v>
      </c>
      <c r="P57" s="94">
        <v>0</v>
      </c>
      <c r="Q57" s="28"/>
      <c r="R57" s="28"/>
      <c r="S57" s="28"/>
      <c r="T57" s="28"/>
      <c r="U57" s="28"/>
      <c r="V57" s="28"/>
      <c r="W57" s="28"/>
      <c r="X57" s="28"/>
      <c r="Y57" s="28"/>
      <c r="Z57" s="28"/>
      <c r="AA57" s="28"/>
      <c r="AB57" s="28"/>
      <c r="AC57" s="28"/>
      <c r="AD57" s="28"/>
      <c r="AE57" s="28"/>
      <c r="AF57" s="26"/>
      <c r="AG57" s="28"/>
      <c r="AH57" s="28"/>
      <c r="AI57" s="28"/>
      <c r="AJ57" s="28"/>
      <c r="AK57" s="26"/>
    </row>
    <row r="58" spans="1:37" ht="31" customHeight="1" thickBot="1" x14ac:dyDescent="0.4">
      <c r="A58" s="23" t="s">
        <v>373</v>
      </c>
      <c r="B58" s="23" t="s">
        <v>378</v>
      </c>
      <c r="C58" s="23" t="s">
        <v>139</v>
      </c>
      <c r="D58" s="22" t="s">
        <v>487</v>
      </c>
      <c r="E58" s="23" t="s">
        <v>175</v>
      </c>
      <c r="F58" s="26"/>
      <c r="G58" s="94">
        <v>0</v>
      </c>
      <c r="H58" s="94">
        <v>0</v>
      </c>
      <c r="I58" s="94">
        <v>0</v>
      </c>
      <c r="J58" s="94">
        <v>0</v>
      </c>
      <c r="K58" s="94">
        <v>0</v>
      </c>
      <c r="L58" s="94">
        <v>0</v>
      </c>
      <c r="M58" s="94">
        <v>0</v>
      </c>
      <c r="N58" s="94">
        <v>0</v>
      </c>
      <c r="O58" s="94">
        <v>0</v>
      </c>
      <c r="P58" s="94">
        <v>0</v>
      </c>
      <c r="Q58" s="28"/>
      <c r="R58" s="28"/>
      <c r="S58" s="28"/>
      <c r="T58" s="28"/>
      <c r="U58" s="28"/>
      <c r="V58" s="28"/>
      <c r="W58" s="28"/>
      <c r="X58" s="28"/>
      <c r="Y58" s="28"/>
      <c r="Z58" s="28"/>
      <c r="AA58" s="28"/>
      <c r="AB58" s="28"/>
      <c r="AC58" s="28"/>
      <c r="AD58" s="28"/>
      <c r="AE58" s="28"/>
      <c r="AF58" s="26"/>
      <c r="AG58" s="28"/>
      <c r="AH58" s="28"/>
      <c r="AI58" s="28"/>
      <c r="AJ58" s="28"/>
      <c r="AK58" s="26"/>
    </row>
    <row r="59" spans="1:37" ht="31" customHeight="1" thickBot="1" x14ac:dyDescent="0.4">
      <c r="A59" s="23" t="s">
        <v>373</v>
      </c>
      <c r="B59" s="23" t="s">
        <v>379</v>
      </c>
      <c r="C59" s="23" t="s">
        <v>140</v>
      </c>
      <c r="D59" s="22" t="s">
        <v>488</v>
      </c>
      <c r="E59" s="23" t="s">
        <v>175</v>
      </c>
      <c r="F59" s="26"/>
      <c r="G59" s="94">
        <v>0</v>
      </c>
      <c r="H59" s="94">
        <v>0</v>
      </c>
      <c r="I59" s="94">
        <v>0</v>
      </c>
      <c r="J59" s="94">
        <v>0</v>
      </c>
      <c r="K59" s="94">
        <v>0</v>
      </c>
      <c r="L59" s="94">
        <v>0</v>
      </c>
      <c r="M59" s="94">
        <v>0</v>
      </c>
      <c r="N59" s="94">
        <v>0</v>
      </c>
      <c r="O59" s="94">
        <v>0</v>
      </c>
      <c r="P59" s="94">
        <v>0</v>
      </c>
      <c r="Q59" s="28"/>
      <c r="R59" s="28"/>
      <c r="S59" s="28"/>
      <c r="T59" s="28"/>
      <c r="U59" s="28"/>
      <c r="V59" s="28"/>
      <c r="W59" s="28"/>
      <c r="X59" s="28"/>
      <c r="Y59" s="28"/>
      <c r="Z59" s="28"/>
      <c r="AA59" s="28"/>
      <c r="AB59" s="28"/>
      <c r="AC59" s="28"/>
      <c r="AD59" s="28"/>
      <c r="AE59" s="28"/>
      <c r="AF59" s="26"/>
      <c r="AG59" s="28"/>
      <c r="AH59" s="28"/>
      <c r="AI59" s="28"/>
      <c r="AJ59" s="28"/>
      <c r="AK59" s="26"/>
    </row>
    <row r="60" spans="1:37" ht="31" customHeight="1" thickBot="1" x14ac:dyDescent="0.4">
      <c r="A60" s="23" t="s">
        <v>373</v>
      </c>
      <c r="B60" s="23" t="s">
        <v>380</v>
      </c>
      <c r="C60" s="23" t="s">
        <v>141</v>
      </c>
      <c r="D60" s="22" t="s">
        <v>489</v>
      </c>
      <c r="E60" s="23" t="s">
        <v>175</v>
      </c>
      <c r="F60" s="26"/>
      <c r="G60" s="94">
        <v>0</v>
      </c>
      <c r="H60" s="94">
        <v>0</v>
      </c>
      <c r="I60" s="94">
        <v>0</v>
      </c>
      <c r="J60" s="94">
        <v>0</v>
      </c>
      <c r="K60" s="94">
        <v>0</v>
      </c>
      <c r="L60" s="94">
        <v>0</v>
      </c>
      <c r="M60" s="94">
        <v>0</v>
      </c>
      <c r="N60" s="94">
        <v>0</v>
      </c>
      <c r="O60" s="94">
        <v>0</v>
      </c>
      <c r="P60" s="94">
        <v>0</v>
      </c>
      <c r="Q60" s="28"/>
      <c r="R60" s="28"/>
      <c r="S60" s="28"/>
      <c r="T60" s="28"/>
      <c r="U60" s="28"/>
      <c r="V60" s="28"/>
      <c r="W60" s="28"/>
      <c r="X60" s="28"/>
      <c r="Y60" s="28"/>
      <c r="Z60" s="28"/>
      <c r="AA60" s="28"/>
      <c r="AB60" s="28"/>
      <c r="AC60" s="28"/>
      <c r="AD60" s="28"/>
      <c r="AE60" s="28"/>
      <c r="AF60" s="26"/>
      <c r="AG60" s="28"/>
      <c r="AH60" s="28"/>
      <c r="AI60" s="28"/>
      <c r="AJ60" s="28"/>
      <c r="AK60" s="26"/>
    </row>
    <row r="61" spans="1:37" ht="31" customHeight="1" thickBot="1" x14ac:dyDescent="0.4">
      <c r="A61" s="23" t="s">
        <v>373</v>
      </c>
      <c r="B61" s="23" t="s">
        <v>381</v>
      </c>
      <c r="C61" s="23" t="s">
        <v>142</v>
      </c>
      <c r="D61" s="22" t="s">
        <v>490</v>
      </c>
      <c r="E61" s="23" t="s">
        <v>175</v>
      </c>
      <c r="F61" s="26"/>
      <c r="G61" s="94">
        <f>IF(2031-Summary!$B$10-0&gt;0,0,IF(2036-Summary!$B$10-0&gt;0,0.16,0.26))</f>
        <v>0</v>
      </c>
      <c r="H61" s="94">
        <f>IF(2031-Summary!$B$10-1&gt;0,0,IF(2036-Summary!$B$10-1&gt;0,0.16,0.26))</f>
        <v>0</v>
      </c>
      <c r="I61" s="94">
        <f>IF(2031-Summary!$B$10-2&gt;0,0,IF(2036-Summary!$B$10-2&gt;0,0.16,0.26))</f>
        <v>0</v>
      </c>
      <c r="J61" s="94">
        <f>IF(2031-Summary!$B$10-3&gt;0,0,IF(2036-Summary!$B$10-3&gt;0,0.16,0.26))</f>
        <v>0</v>
      </c>
      <c r="K61" s="94">
        <f>IF(2031-Summary!$B$10-4&gt;0,0,IF(2036-Summary!$B$10-4&gt;0,0.16,0.26))</f>
        <v>0.16</v>
      </c>
      <c r="L61" s="94">
        <f>IF(2031-Summary!$B$10-5&gt;0,0,IF(2036-Summary!$B$10-5&gt;0,0.16,0.26))</f>
        <v>0.16</v>
      </c>
      <c r="M61" s="94">
        <f>IF(2031-Summary!$B$10-6&gt;0,0,IF(2036-Summary!$B$10-6&gt;0,0.16,0.26))</f>
        <v>0.16</v>
      </c>
      <c r="N61" s="94">
        <f>IF(2031-Summary!$B$10-7&gt;0,0,IF(2036-Summary!$B$10-7&gt;0,0.16,0.26))</f>
        <v>0.16</v>
      </c>
      <c r="O61" s="94">
        <f>IF(2031-Summary!$B$10-8&gt;0,0,IF(2036-Summary!$B$10-8&gt;0,0.16,0.26))</f>
        <v>0.16</v>
      </c>
      <c r="P61" s="94">
        <f>IF(2031-Summary!$B$10-9&gt;0,0,IF(2036-Summary!$B$10-9&gt;0,0.16,0.26))</f>
        <v>0.26</v>
      </c>
      <c r="Q61" s="28"/>
      <c r="R61" s="28"/>
      <c r="S61" s="28"/>
      <c r="T61" s="28"/>
      <c r="U61" s="28"/>
      <c r="V61" s="28"/>
      <c r="W61" s="28"/>
      <c r="X61" s="28"/>
      <c r="Y61" s="28"/>
      <c r="Z61" s="28"/>
      <c r="AA61" s="28"/>
      <c r="AB61" s="28"/>
      <c r="AC61" s="28"/>
      <c r="AD61" s="28"/>
      <c r="AE61" s="28"/>
      <c r="AF61" s="26"/>
      <c r="AG61" s="28"/>
      <c r="AH61" s="28"/>
      <c r="AI61" s="28"/>
      <c r="AJ61" s="28"/>
      <c r="AK61" s="26"/>
    </row>
    <row r="62" spans="1:37" ht="31" customHeight="1" thickBot="1" x14ac:dyDescent="0.4">
      <c r="A62" s="23" t="s">
        <v>373</v>
      </c>
      <c r="B62" s="23" t="s">
        <v>382</v>
      </c>
      <c r="C62" s="23" t="s">
        <v>143</v>
      </c>
      <c r="D62" s="22" t="s">
        <v>491</v>
      </c>
      <c r="E62" s="23" t="s">
        <v>175</v>
      </c>
      <c r="F62" s="26"/>
      <c r="G62" s="94">
        <f>IF(2031-Summary!$B$10-0&gt;0,0,IF(2036-Summary!$B$10-0&gt;0,0.06,0.15))</f>
        <v>0</v>
      </c>
      <c r="H62" s="94">
        <f>IF(2031-Summary!$B$10-1&gt;0,0,IF(2036-Summary!$B$10-1&gt;0,0.06,0.15))</f>
        <v>0</v>
      </c>
      <c r="I62" s="94">
        <f>IF(2031-Summary!$B$10-2&gt;0,0,IF(2036-Summary!$B$10-2&gt;0,0.06,0.15))</f>
        <v>0</v>
      </c>
      <c r="J62" s="94">
        <f>IF(2031-Summary!$B$10-3&gt;0,0,IF(2036-Summary!$B$10-3&gt;0,0.06,0.15))</f>
        <v>0</v>
      </c>
      <c r="K62" s="94">
        <f>IF(2031-Summary!$B$10-4&gt;0,0,IF(2036-Summary!$B$10-4&gt;0,0.06,0.15))</f>
        <v>0.06</v>
      </c>
      <c r="L62" s="94">
        <f>IF(2031-Summary!$B$10-5&gt;0,0,IF(2036-Summary!$B$10-5&gt;0,0.06,0.15))</f>
        <v>0.06</v>
      </c>
      <c r="M62" s="94">
        <f>IF(2031-Summary!$B$10-6&gt;0,0,IF(2036-Summary!$B$10-6&gt;0,0.06,0.15))</f>
        <v>0.06</v>
      </c>
      <c r="N62" s="94">
        <f>IF(2031-Summary!$B$10-7&gt;0,0,IF(2036-Summary!$B$10-7&gt;0,0.06,0.15))</f>
        <v>0.06</v>
      </c>
      <c r="O62" s="94">
        <f>IF(2031-Summary!$B$10-8&gt;0,0,IF(2036-Summary!$B$10-8&gt;0,0.06,0.15))</f>
        <v>0.06</v>
      </c>
      <c r="P62" s="94">
        <f>IF(2031-Summary!$B$10-9&gt;0,0,IF(2036-Summary!$B$10-9&gt;0,0.06,0.15))</f>
        <v>0.15</v>
      </c>
      <c r="Q62" s="28"/>
      <c r="R62" s="28"/>
      <c r="S62" s="28"/>
      <c r="T62" s="28"/>
      <c r="U62" s="28"/>
      <c r="V62" s="28"/>
      <c r="W62" s="28"/>
      <c r="X62" s="28"/>
      <c r="Y62" s="28"/>
      <c r="Z62" s="28"/>
      <c r="AA62" s="28"/>
      <c r="AB62" s="28"/>
      <c r="AC62" s="28"/>
      <c r="AD62" s="28"/>
      <c r="AE62" s="28"/>
      <c r="AF62" s="26"/>
      <c r="AG62" s="28"/>
      <c r="AH62" s="28"/>
      <c r="AI62" s="28"/>
      <c r="AJ62" s="28"/>
      <c r="AK62" s="26"/>
    </row>
    <row r="63" spans="1:37" ht="31" customHeight="1" thickBot="1" x14ac:dyDescent="0.4">
      <c r="A63" s="23" t="s">
        <v>373</v>
      </c>
      <c r="B63" s="23" t="s">
        <v>383</v>
      </c>
      <c r="C63" s="23" t="s">
        <v>144</v>
      </c>
      <c r="D63" s="22" t="s">
        <v>492</v>
      </c>
      <c r="E63" s="23" t="s">
        <v>175</v>
      </c>
      <c r="F63" s="26"/>
      <c r="G63" s="94">
        <v>0</v>
      </c>
      <c r="H63" s="94">
        <v>0</v>
      </c>
      <c r="I63" s="94">
        <v>0</v>
      </c>
      <c r="J63" s="94">
        <v>0</v>
      </c>
      <c r="K63" s="94">
        <v>0</v>
      </c>
      <c r="L63" s="94">
        <v>0</v>
      </c>
      <c r="M63" s="94">
        <v>0</v>
      </c>
      <c r="N63" s="94">
        <v>0</v>
      </c>
      <c r="O63" s="94">
        <v>0</v>
      </c>
      <c r="P63" s="94">
        <v>0</v>
      </c>
      <c r="Q63" s="28"/>
      <c r="R63" s="28"/>
      <c r="S63" s="28"/>
      <c r="T63" s="28"/>
      <c r="U63" s="28"/>
      <c r="V63" s="28"/>
      <c r="W63" s="28"/>
      <c r="X63" s="28"/>
      <c r="Y63" s="28"/>
      <c r="Z63" s="28"/>
      <c r="AA63" s="28"/>
      <c r="AB63" s="28"/>
      <c r="AC63" s="28"/>
      <c r="AD63" s="28"/>
      <c r="AE63" s="28"/>
      <c r="AF63" s="26"/>
      <c r="AG63" s="28"/>
      <c r="AH63" s="28"/>
      <c r="AI63" s="28"/>
      <c r="AJ63" s="28"/>
      <c r="AK63" s="26"/>
    </row>
    <row r="64" spans="1:37" ht="31" customHeight="1" thickBot="1" x14ac:dyDescent="0.4">
      <c r="A64" s="23" t="s">
        <v>373</v>
      </c>
      <c r="B64" s="23" t="s">
        <v>384</v>
      </c>
      <c r="C64" s="23" t="s">
        <v>145</v>
      </c>
      <c r="D64" s="22" t="s">
        <v>493</v>
      </c>
      <c r="E64" s="23" t="s">
        <v>175</v>
      </c>
      <c r="F64" s="26"/>
      <c r="G64" s="94">
        <v>0</v>
      </c>
      <c r="H64" s="94">
        <v>0</v>
      </c>
      <c r="I64" s="94">
        <v>0</v>
      </c>
      <c r="J64" s="94">
        <v>0</v>
      </c>
      <c r="K64" s="94">
        <v>0</v>
      </c>
      <c r="L64" s="94">
        <v>0</v>
      </c>
      <c r="M64" s="94">
        <v>0</v>
      </c>
      <c r="N64" s="94">
        <v>0</v>
      </c>
      <c r="O64" s="94">
        <v>0</v>
      </c>
      <c r="P64" s="94">
        <v>0</v>
      </c>
      <c r="Q64" s="28"/>
      <c r="R64" s="28"/>
      <c r="S64" s="28"/>
      <c r="T64" s="28"/>
      <c r="U64" s="28"/>
      <c r="V64" s="28"/>
      <c r="W64" s="28"/>
      <c r="X64" s="28"/>
      <c r="Y64" s="28"/>
      <c r="Z64" s="28"/>
      <c r="AA64" s="28"/>
      <c r="AB64" s="28"/>
      <c r="AC64" s="28"/>
      <c r="AD64" s="28"/>
      <c r="AE64" s="28"/>
      <c r="AF64" s="26"/>
      <c r="AG64" s="28"/>
      <c r="AH64" s="28"/>
      <c r="AI64" s="28"/>
      <c r="AJ64" s="28"/>
      <c r="AK64" s="26"/>
    </row>
    <row r="65" spans="1:37" ht="31" customHeight="1" thickBot="1" x14ac:dyDescent="0.4">
      <c r="A65" s="23" t="s">
        <v>373</v>
      </c>
      <c r="B65" s="23" t="s">
        <v>599</v>
      </c>
      <c r="C65" s="23" t="s">
        <v>535</v>
      </c>
      <c r="D65" s="22" t="s">
        <v>537</v>
      </c>
      <c r="E65" s="23" t="s">
        <v>175</v>
      </c>
      <c r="F65" s="26"/>
      <c r="G65" s="94">
        <v>0</v>
      </c>
      <c r="H65" s="94">
        <v>0</v>
      </c>
      <c r="I65" s="94">
        <v>0</v>
      </c>
      <c r="J65" s="94">
        <v>0</v>
      </c>
      <c r="K65" s="94">
        <v>0</v>
      </c>
      <c r="L65" s="94">
        <v>0</v>
      </c>
      <c r="M65" s="94">
        <v>0</v>
      </c>
      <c r="N65" s="94">
        <v>0</v>
      </c>
      <c r="O65" s="94">
        <v>0</v>
      </c>
      <c r="P65" s="94">
        <v>0</v>
      </c>
      <c r="Q65" s="28"/>
      <c r="R65" s="28"/>
      <c r="S65" s="28"/>
      <c r="T65" s="28"/>
      <c r="U65" s="28"/>
      <c r="V65" s="28"/>
      <c r="W65" s="28"/>
      <c r="X65" s="28"/>
      <c r="Y65" s="28"/>
      <c r="Z65" s="28"/>
      <c r="AA65" s="28"/>
      <c r="AB65" s="28"/>
      <c r="AC65" s="28"/>
      <c r="AD65" s="28"/>
      <c r="AE65" s="28"/>
      <c r="AF65" s="26"/>
      <c r="AG65" s="28"/>
      <c r="AH65" s="28"/>
      <c r="AI65" s="28"/>
      <c r="AJ65" s="28"/>
      <c r="AK65" s="26"/>
    </row>
    <row r="66" spans="1:37" ht="31" customHeight="1" thickBot="1" x14ac:dyDescent="0.4">
      <c r="A66" s="23" t="s">
        <v>373</v>
      </c>
      <c r="B66" s="23" t="s">
        <v>600</v>
      </c>
      <c r="C66" s="23" t="s">
        <v>526</v>
      </c>
      <c r="D66" s="22" t="s">
        <v>528</v>
      </c>
      <c r="E66" s="23" t="s">
        <v>175</v>
      </c>
      <c r="F66" s="26"/>
      <c r="G66" s="94">
        <v>0</v>
      </c>
      <c r="H66" s="94">
        <v>0</v>
      </c>
      <c r="I66" s="94">
        <v>0</v>
      </c>
      <c r="J66" s="94">
        <v>0</v>
      </c>
      <c r="K66" s="94">
        <v>0</v>
      </c>
      <c r="L66" s="94">
        <v>0</v>
      </c>
      <c r="M66" s="94">
        <v>0</v>
      </c>
      <c r="N66" s="94">
        <v>0</v>
      </c>
      <c r="O66" s="94">
        <v>0</v>
      </c>
      <c r="P66" s="94">
        <v>0</v>
      </c>
      <c r="Q66" s="28"/>
      <c r="R66" s="28"/>
      <c r="S66" s="28"/>
      <c r="T66" s="28"/>
      <c r="U66" s="28"/>
      <c r="V66" s="28"/>
      <c r="W66" s="28"/>
      <c r="X66" s="28"/>
      <c r="Y66" s="28"/>
      <c r="Z66" s="28"/>
      <c r="AA66" s="28"/>
      <c r="AB66" s="28"/>
      <c r="AC66" s="28"/>
      <c r="AD66" s="28"/>
      <c r="AE66" s="28"/>
      <c r="AF66" s="26"/>
      <c r="AG66" s="28"/>
      <c r="AH66" s="28"/>
      <c r="AI66" s="28"/>
      <c r="AJ66" s="28"/>
      <c r="AK66" s="26"/>
    </row>
    <row r="67" spans="1:37" ht="31" customHeight="1" thickBot="1" x14ac:dyDescent="0.4">
      <c r="A67" s="23" t="s">
        <v>373</v>
      </c>
      <c r="B67" s="23" t="s">
        <v>601</v>
      </c>
      <c r="C67" s="23" t="s">
        <v>529</v>
      </c>
      <c r="D67" s="22" t="s">
        <v>531</v>
      </c>
      <c r="E67" s="23" t="s">
        <v>175</v>
      </c>
      <c r="F67" s="26"/>
      <c r="G67" s="94">
        <v>0</v>
      </c>
      <c r="H67" s="94">
        <v>0</v>
      </c>
      <c r="I67" s="94">
        <v>0</v>
      </c>
      <c r="J67" s="94">
        <v>0</v>
      </c>
      <c r="K67" s="94">
        <v>0</v>
      </c>
      <c r="L67" s="94">
        <v>0</v>
      </c>
      <c r="M67" s="94">
        <v>0</v>
      </c>
      <c r="N67" s="94">
        <v>0</v>
      </c>
      <c r="O67" s="94">
        <v>0</v>
      </c>
      <c r="P67" s="94">
        <v>0</v>
      </c>
      <c r="Q67" s="28"/>
      <c r="R67" s="28"/>
      <c r="S67" s="28"/>
      <c r="T67" s="28"/>
      <c r="U67" s="28"/>
      <c r="V67" s="28"/>
      <c r="W67" s="28"/>
      <c r="X67" s="28"/>
      <c r="Y67" s="28"/>
      <c r="Z67" s="28"/>
      <c r="AA67" s="28"/>
      <c r="AB67" s="28"/>
      <c r="AC67" s="28"/>
      <c r="AD67" s="28"/>
      <c r="AE67" s="28"/>
      <c r="AF67" s="26"/>
      <c r="AG67" s="28"/>
      <c r="AH67" s="28"/>
      <c r="AI67" s="28"/>
      <c r="AJ67" s="28"/>
      <c r="AK67" s="26"/>
    </row>
    <row r="68" spans="1:37" ht="31" customHeight="1" thickBot="1" x14ac:dyDescent="0.4">
      <c r="A68" s="23" t="s">
        <v>373</v>
      </c>
      <c r="B68" s="23" t="s">
        <v>620</v>
      </c>
      <c r="C68" s="23" t="s">
        <v>618</v>
      </c>
      <c r="D68" s="22" t="s">
        <v>619</v>
      </c>
      <c r="E68" s="23" t="s">
        <v>175</v>
      </c>
      <c r="F68" s="26"/>
      <c r="G68" s="94">
        <f>IF(2031-Summary!$B$10-0&gt;0,0,IF(2036-Summary!$B$10-0&gt;0,0.85,0.85))</f>
        <v>0</v>
      </c>
      <c r="H68" s="94">
        <f>IF(2031-Summary!$B$10-1&gt;0,0,IF(2036-Summary!$B$10-1&gt;0,0.85,0.85))</f>
        <v>0</v>
      </c>
      <c r="I68" s="94">
        <f>IF(2031-Summary!$B$10-2&gt;0,0,IF(2036-Summary!$B$10-2&gt;0,0.85,0.85))</f>
        <v>0</v>
      </c>
      <c r="J68" s="94">
        <f>IF(2031-Summary!$B$10-3&gt;0,0,IF(2036-Summary!$B$10-3&gt;0,0.85,0.85))</f>
        <v>0</v>
      </c>
      <c r="K68" s="94">
        <f>IF(2031-Summary!$B$10-4&gt;0,0,IF(2036-Summary!$B$10-4&gt;0,0.85,0.85))</f>
        <v>0.85</v>
      </c>
      <c r="L68" s="94">
        <f>IF(2031-Summary!$B$10-5&gt;0,0,IF(2036-Summary!$B$10-5&gt;0,0.85,0.85))</f>
        <v>0.85</v>
      </c>
      <c r="M68" s="94">
        <f>IF(2031-Summary!$B$10-6&gt;0,0,IF(2036-Summary!$B$10-6&gt;0,0.85,0.85))</f>
        <v>0.85</v>
      </c>
      <c r="N68" s="94">
        <f>IF(2031-Summary!$B$10-7&gt;0,0,IF(2036-Summary!$B$10-7&gt;0,0.85,0.85))</f>
        <v>0.85</v>
      </c>
      <c r="O68" s="94">
        <f>IF(2031-Summary!$B$10-8&gt;0,0,IF(2036-Summary!$B$10-8&gt;0,0.85,0.85))</f>
        <v>0.85</v>
      </c>
      <c r="P68" s="94">
        <f>IF(2031-Summary!$B$10-9&gt;0,0,IF(2036-Summary!$B$10-9&gt;0,0.85,0.85))</f>
        <v>0.85</v>
      </c>
      <c r="Q68" s="28"/>
      <c r="R68" s="28"/>
      <c r="S68" s="28"/>
      <c r="T68" s="28"/>
      <c r="U68" s="28"/>
      <c r="V68" s="28"/>
      <c r="W68" s="28"/>
      <c r="X68" s="28"/>
      <c r="Y68" s="28"/>
      <c r="Z68" s="28"/>
      <c r="AA68" s="28"/>
      <c r="AB68" s="28"/>
      <c r="AC68" s="28"/>
      <c r="AD68" s="28"/>
      <c r="AE68" s="28"/>
      <c r="AF68" s="26"/>
      <c r="AG68" s="28"/>
      <c r="AH68" s="28"/>
      <c r="AI68" s="28"/>
      <c r="AJ68" s="28"/>
      <c r="AK68" s="26"/>
    </row>
    <row r="69" spans="1:37" ht="44.25" customHeight="1" thickBot="1" x14ac:dyDescent="0.4">
      <c r="A69" s="23" t="s">
        <v>373</v>
      </c>
      <c r="B69" s="23" t="s">
        <v>387</v>
      </c>
      <c r="C69" s="23" t="s">
        <v>166</v>
      </c>
      <c r="D69" s="22" t="s">
        <v>522</v>
      </c>
      <c r="E69" s="23" t="s">
        <v>175</v>
      </c>
      <c r="F69" s="26"/>
      <c r="G69" s="94">
        <v>0</v>
      </c>
      <c r="H69" s="94">
        <v>0</v>
      </c>
      <c r="I69" s="94">
        <v>0</v>
      </c>
      <c r="J69" s="94">
        <v>0</v>
      </c>
      <c r="K69" s="94">
        <v>0</v>
      </c>
      <c r="L69" s="94">
        <v>0</v>
      </c>
      <c r="M69" s="94">
        <v>0</v>
      </c>
      <c r="N69" s="94">
        <v>0</v>
      </c>
      <c r="O69" s="94">
        <v>0</v>
      </c>
      <c r="P69" s="94">
        <v>0</v>
      </c>
      <c r="Q69" s="28"/>
      <c r="R69" s="28"/>
      <c r="S69" s="28"/>
      <c r="T69" s="28"/>
      <c r="U69" s="28"/>
      <c r="V69" s="28"/>
      <c r="W69" s="28"/>
      <c r="X69" s="28"/>
      <c r="Y69" s="28"/>
      <c r="Z69" s="28"/>
      <c r="AA69" s="28"/>
      <c r="AB69" s="28"/>
      <c r="AC69" s="28"/>
      <c r="AD69" s="28"/>
      <c r="AE69" s="28"/>
      <c r="AF69" s="26"/>
      <c r="AG69" s="28"/>
      <c r="AH69" s="28"/>
      <c r="AI69" s="28"/>
      <c r="AJ69" s="28"/>
      <c r="AK69" s="26"/>
    </row>
    <row r="70" spans="1:37" ht="13" thickBot="1" x14ac:dyDescent="0.4"/>
    <row r="71" spans="1:37" ht="26.15" customHeight="1" thickBot="1" x14ac:dyDescent="0.4">
      <c r="A71" s="112" t="s">
        <v>684</v>
      </c>
      <c r="B71" s="113"/>
      <c r="C71" s="113"/>
      <c r="D71" s="113"/>
      <c r="E71" s="113"/>
      <c r="F71" s="113"/>
      <c r="G71" s="113"/>
      <c r="H71" s="113"/>
      <c r="I71" s="113"/>
      <c r="J71" s="113"/>
      <c r="K71" s="113"/>
      <c r="L71" s="113"/>
      <c r="M71" s="113"/>
      <c r="N71" s="113"/>
      <c r="O71" s="113"/>
      <c r="P71" s="113"/>
      <c r="Q71" s="113"/>
      <c r="R71" s="113"/>
      <c r="S71" s="114"/>
      <c r="T71" s="114"/>
      <c r="U71" s="114"/>
      <c r="V71" s="114"/>
      <c r="W71" s="114"/>
      <c r="X71" s="114"/>
      <c r="Y71" s="114"/>
      <c r="Z71" s="114"/>
      <c r="AA71" s="114"/>
      <c r="AB71" s="114"/>
      <c r="AC71" s="114"/>
      <c r="AD71" s="114"/>
      <c r="AE71" s="114"/>
      <c r="AF71" s="114"/>
      <c r="AG71" s="115"/>
      <c r="AH71" s="115"/>
      <c r="AI71" s="113"/>
      <c r="AJ71" s="113"/>
      <c r="AK71" s="115"/>
    </row>
    <row r="72" spans="1:37" ht="31" customHeight="1" thickBot="1" x14ac:dyDescent="0.4">
      <c r="A72" s="23" t="s">
        <v>388</v>
      </c>
      <c r="B72" s="23" t="s">
        <v>389</v>
      </c>
      <c r="C72" s="23" t="s">
        <v>134</v>
      </c>
      <c r="D72" s="22" t="s">
        <v>508</v>
      </c>
      <c r="E72" s="23" t="s">
        <v>135</v>
      </c>
      <c r="F72" s="26" t="s">
        <v>107</v>
      </c>
      <c r="G72" s="86">
        <f>G$16*'Conversion factors BATT'!$B25</f>
        <v>460</v>
      </c>
      <c r="H72" s="86">
        <f>H$16*'Conversion factors BATT'!$B25</f>
        <v>920</v>
      </c>
      <c r="I72" s="86">
        <f>I$16*'Conversion factors BATT'!$B25</f>
        <v>920</v>
      </c>
      <c r="J72" s="86">
        <f>J$16*'Conversion factors BATT'!$B25</f>
        <v>920</v>
      </c>
      <c r="K72" s="86">
        <f>K$16*'Conversion factors BATT'!$B25</f>
        <v>920</v>
      </c>
      <c r="L72" s="86">
        <f>L$16*'Conversion factors BATT'!$B25</f>
        <v>920</v>
      </c>
      <c r="M72" s="86">
        <f>M$16*'Conversion factors BATT'!$B25</f>
        <v>920</v>
      </c>
      <c r="N72" s="86">
        <f>N$16*'Conversion factors BATT'!$B25</f>
        <v>920</v>
      </c>
      <c r="O72" s="86">
        <f>O$16*'Conversion factors BATT'!$B25</f>
        <v>920</v>
      </c>
      <c r="P72" s="86">
        <f>P$16*'Conversion factors BATT'!$B25</f>
        <v>920</v>
      </c>
      <c r="Q72" s="81">
        <f>SUM(G72:P72)</f>
        <v>8740</v>
      </c>
      <c r="R72" s="28"/>
      <c r="S72" s="28"/>
      <c r="T72" s="83">
        <f>(G49*'Conversion factors BATT'!$B70+(1-G49)*'Conversion factors BATT'!$B91)*G72</f>
        <v>14697</v>
      </c>
      <c r="U72" s="83">
        <f>(H49*'Conversion factors BATT'!$B70+(1-H49)*'Conversion factors BATT'!$B91)*H72</f>
        <v>29394</v>
      </c>
      <c r="V72" s="83">
        <f>(I49*'Conversion factors BATT'!$B70+(1-I49)*'Conversion factors BATT'!$B91)*I72</f>
        <v>29394</v>
      </c>
      <c r="W72" s="83">
        <f>(J49*'Conversion factors BATT'!$B70+(1-J49)*'Conversion factors BATT'!$B91)*J72</f>
        <v>29394</v>
      </c>
      <c r="X72" s="83">
        <f>(K49*'Conversion factors BATT'!$B70+(1-K49)*'Conversion factors BATT'!$B91)*K72</f>
        <v>28502.519999999997</v>
      </c>
      <c r="Y72" s="83">
        <f>(L49*'Conversion factors BATT'!$B70+(1-L49)*'Conversion factors BATT'!$B91)*L72</f>
        <v>28502.519999999997</v>
      </c>
      <c r="Z72" s="83">
        <f>(M49*'Conversion factors BATT'!$B70+(1-M49)*'Conversion factors BATT'!$B91)*M72</f>
        <v>28502.519999999997</v>
      </c>
      <c r="AA72" s="83">
        <f>(N49*'Conversion factors BATT'!$B70+(1-N49)*'Conversion factors BATT'!$B91)*N72</f>
        <v>28502.519999999997</v>
      </c>
      <c r="AB72" s="83">
        <f>(O49*'Conversion factors BATT'!$B70+(1-O49)*'Conversion factors BATT'!$B91)*O72</f>
        <v>28502.519999999997</v>
      </c>
      <c r="AC72" s="83">
        <f>(P49*'Conversion factors BATT'!$B70+(1-P49)*'Conversion factors BATT'!$B91)*P72</f>
        <v>27611.040000000001</v>
      </c>
      <c r="AD72" s="83">
        <f>SUM(T72:AC72)</f>
        <v>273002.63999999996</v>
      </c>
      <c r="AE72" s="28"/>
      <c r="AF72" s="26"/>
      <c r="AG72" s="28"/>
      <c r="AH72" s="28"/>
      <c r="AI72" s="28"/>
      <c r="AJ72" s="28"/>
      <c r="AK72" s="26"/>
    </row>
    <row r="73" spans="1:37" ht="31" customHeight="1" thickBot="1" x14ac:dyDescent="0.4">
      <c r="A73" s="23" t="s">
        <v>388</v>
      </c>
      <c r="B73" s="23" t="s">
        <v>807</v>
      </c>
      <c r="C73" s="23" t="s">
        <v>148</v>
      </c>
      <c r="D73" s="22" t="s">
        <v>521</v>
      </c>
      <c r="E73" s="23" t="s">
        <v>135</v>
      </c>
      <c r="F73" s="26" t="s">
        <v>107</v>
      </c>
      <c r="G73" s="86">
        <f>G$16*'Conversion factors BATT'!$B26</f>
        <v>492</v>
      </c>
      <c r="H73" s="86">
        <f>H$16*'Conversion factors BATT'!$B26</f>
        <v>984</v>
      </c>
      <c r="I73" s="86">
        <f>I$16*'Conversion factors BATT'!$B26</f>
        <v>984</v>
      </c>
      <c r="J73" s="86">
        <f>J$16*'Conversion factors BATT'!$B26</f>
        <v>984</v>
      </c>
      <c r="K73" s="86">
        <f>K$16*'Conversion factors BATT'!$B26</f>
        <v>984</v>
      </c>
      <c r="L73" s="86">
        <f>L$16*'Conversion factors BATT'!$B26</f>
        <v>984</v>
      </c>
      <c r="M73" s="86">
        <f>M$16*'Conversion factors BATT'!$B26</f>
        <v>984</v>
      </c>
      <c r="N73" s="86">
        <f>N$16*'Conversion factors BATT'!$B26</f>
        <v>984</v>
      </c>
      <c r="O73" s="86">
        <f>O$16*'Conversion factors BATT'!$B26</f>
        <v>984</v>
      </c>
      <c r="P73" s="86">
        <f>P$16*'Conversion factors BATT'!$B26</f>
        <v>984</v>
      </c>
      <c r="Q73" s="81">
        <f>SUM(G73:P73)</f>
        <v>9348</v>
      </c>
      <c r="R73" s="28"/>
      <c r="S73" s="28"/>
      <c r="T73" s="83">
        <f>(G50*'Conversion factors BATT'!$B71+(1-G50)*'Conversion factors BATT'!$B92)*G73</f>
        <v>654.36</v>
      </c>
      <c r="U73" s="83">
        <f>(H50*'Conversion factors BATT'!$B71+(1-H50)*'Conversion factors BATT'!$B92)*H73</f>
        <v>1308.72</v>
      </c>
      <c r="V73" s="83">
        <f>(I50*'Conversion factors BATT'!$B71+(1-I50)*'Conversion factors BATT'!$B92)*I73</f>
        <v>1308.72</v>
      </c>
      <c r="W73" s="83">
        <f>(J50*'Conversion factors BATT'!$B71+(1-J50)*'Conversion factors BATT'!$B92)*J73</f>
        <v>1308.72</v>
      </c>
      <c r="X73" s="83">
        <f>(K50*'Conversion factors BATT'!$B71+(1-K50)*'Conversion factors BATT'!$B92)*K73</f>
        <v>1308.72</v>
      </c>
      <c r="Y73" s="83">
        <f>(L50*'Conversion factors BATT'!$B71+(1-L50)*'Conversion factors BATT'!$B92)*L73</f>
        <v>1308.72</v>
      </c>
      <c r="Z73" s="83">
        <f>(M50*'Conversion factors BATT'!$B71+(1-M50)*'Conversion factors BATT'!$B92)*M73</f>
        <v>1308.72</v>
      </c>
      <c r="AA73" s="83">
        <f>(N50*'Conversion factors BATT'!$B71+(1-N50)*'Conversion factors BATT'!$B92)*N73</f>
        <v>1308.72</v>
      </c>
      <c r="AB73" s="83">
        <f>(O50*'Conversion factors BATT'!$B71+(1-O50)*'Conversion factors BATT'!$B92)*O73</f>
        <v>1308.72</v>
      </c>
      <c r="AC73" s="83">
        <f>(P50*'Conversion factors BATT'!$B71+(1-P50)*'Conversion factors BATT'!$B92)*P73</f>
        <v>1308.72</v>
      </c>
      <c r="AD73" s="83">
        <f>SUM(T73:AC73)</f>
        <v>12432.839999999998</v>
      </c>
      <c r="AE73" s="28"/>
      <c r="AF73" s="26"/>
      <c r="AG73" s="28"/>
      <c r="AH73" s="28"/>
      <c r="AI73" s="28"/>
      <c r="AJ73" s="28"/>
      <c r="AK73" s="26"/>
    </row>
    <row r="74" spans="1:37" ht="31" customHeight="1" thickBot="1" x14ac:dyDescent="0.4">
      <c r="A74" s="23" t="s">
        <v>388</v>
      </c>
      <c r="B74" s="23" t="s">
        <v>390</v>
      </c>
      <c r="C74" s="23" t="s">
        <v>147</v>
      </c>
      <c r="D74" s="22" t="s">
        <v>509</v>
      </c>
      <c r="E74" s="23" t="s">
        <v>135</v>
      </c>
      <c r="F74" s="26" t="s">
        <v>107</v>
      </c>
      <c r="G74" s="86">
        <f>G$16*'Conversion factors BATT'!$B27</f>
        <v>0</v>
      </c>
      <c r="H74" s="86">
        <f>H$16*'Conversion factors BATT'!$B27</f>
        <v>0</v>
      </c>
      <c r="I74" s="86">
        <f>I$16*'Conversion factors BATT'!$B27</f>
        <v>0</v>
      </c>
      <c r="J74" s="86">
        <f>J$16*'Conversion factors BATT'!$B27</f>
        <v>0</v>
      </c>
      <c r="K74" s="86">
        <f>K$16*'Conversion factors BATT'!$B27</f>
        <v>0</v>
      </c>
      <c r="L74" s="86">
        <f>L$16*'Conversion factors BATT'!$B27</f>
        <v>0</v>
      </c>
      <c r="M74" s="86">
        <f>M$16*'Conversion factors BATT'!$B27</f>
        <v>0</v>
      </c>
      <c r="N74" s="86">
        <f>N$16*'Conversion factors BATT'!$B27</f>
        <v>0</v>
      </c>
      <c r="O74" s="86">
        <f>O$16*'Conversion factors BATT'!$B27</f>
        <v>0</v>
      </c>
      <c r="P74" s="86">
        <f>P$16*'Conversion factors BATT'!$B27</f>
        <v>0</v>
      </c>
      <c r="Q74" s="81">
        <f>SUM(G74:P74)</f>
        <v>0</v>
      </c>
      <c r="R74" s="28"/>
      <c r="S74" s="28"/>
      <c r="T74" s="83">
        <f>(G51*'Conversion factors BATT'!$B72+(1-G51)*'Conversion factors BATT'!$B93)*G74</f>
        <v>0</v>
      </c>
      <c r="U74" s="83">
        <f>(H51*'Conversion factors BATT'!$B72+(1-H51)*'Conversion factors BATT'!$B93)*H74</f>
        <v>0</v>
      </c>
      <c r="V74" s="83">
        <f>(I51*'Conversion factors BATT'!$B72+(1-I51)*'Conversion factors BATT'!$B93)*I74</f>
        <v>0</v>
      </c>
      <c r="W74" s="83">
        <f>(J51*'Conversion factors BATT'!$B72+(1-J51)*'Conversion factors BATT'!$B93)*J74</f>
        <v>0</v>
      </c>
      <c r="X74" s="83">
        <f>(K51*'Conversion factors BATT'!$B72+(1-K51)*'Conversion factors BATT'!$B93)*K74</f>
        <v>0</v>
      </c>
      <c r="Y74" s="83">
        <f>(L51*'Conversion factors BATT'!$B72+(1-L51)*'Conversion factors BATT'!$B93)*L74</f>
        <v>0</v>
      </c>
      <c r="Z74" s="83">
        <f>(M51*'Conversion factors BATT'!$B72+(1-M51)*'Conversion factors BATT'!$B93)*M74</f>
        <v>0</v>
      </c>
      <c r="AA74" s="83">
        <f>(N51*'Conversion factors BATT'!$B72+(1-N51)*'Conversion factors BATT'!$B93)*N74</f>
        <v>0</v>
      </c>
      <c r="AB74" s="83">
        <f>(O51*'Conversion factors BATT'!$B72+(1-O51)*'Conversion factors BATT'!$B93)*O74</f>
        <v>0</v>
      </c>
      <c r="AC74" s="83">
        <f>(P51*'Conversion factors BATT'!$B72+(1-P51)*'Conversion factors BATT'!$B93)*P74</f>
        <v>0</v>
      </c>
      <c r="AD74" s="83">
        <f t="shared" ref="AD74:AD92" si="41">SUM(T74:AC74)</f>
        <v>0</v>
      </c>
      <c r="AE74" s="28"/>
      <c r="AF74" s="26"/>
      <c r="AG74" s="28"/>
      <c r="AH74" s="28"/>
      <c r="AI74" s="28"/>
      <c r="AJ74" s="28"/>
      <c r="AK74" s="26"/>
    </row>
    <row r="75" spans="1:37" ht="31" customHeight="1" thickBot="1" x14ac:dyDescent="0.4">
      <c r="A75" s="23" t="s">
        <v>388</v>
      </c>
      <c r="B75" s="23" t="s">
        <v>391</v>
      </c>
      <c r="C75" s="23" t="s">
        <v>136</v>
      </c>
      <c r="D75" s="22" t="s">
        <v>510</v>
      </c>
      <c r="E75" s="23" t="s">
        <v>135</v>
      </c>
      <c r="F75" s="26" t="s">
        <v>107</v>
      </c>
      <c r="G75" s="86">
        <f>G$16*'Conversion factors BATT'!$B28</f>
        <v>2400</v>
      </c>
      <c r="H75" s="86">
        <f>H$16*'Conversion factors BATT'!$B28</f>
        <v>4800</v>
      </c>
      <c r="I75" s="86">
        <f>I$16*'Conversion factors BATT'!$B28</f>
        <v>4800</v>
      </c>
      <c r="J75" s="86">
        <f>J$16*'Conversion factors BATT'!$B28</f>
        <v>4800</v>
      </c>
      <c r="K75" s="86">
        <f>K$16*'Conversion factors BATT'!$B28</f>
        <v>4800</v>
      </c>
      <c r="L75" s="86">
        <f>L$16*'Conversion factors BATT'!$B28</f>
        <v>4800</v>
      </c>
      <c r="M75" s="86">
        <f>M$16*'Conversion factors BATT'!$B28</f>
        <v>4800</v>
      </c>
      <c r="N75" s="86">
        <f>N$16*'Conversion factors BATT'!$B28</f>
        <v>4800</v>
      </c>
      <c r="O75" s="86">
        <f>O$16*'Conversion factors BATT'!$B28</f>
        <v>4800</v>
      </c>
      <c r="P75" s="86">
        <f>P$16*'Conversion factors BATT'!$B28</f>
        <v>4800</v>
      </c>
      <c r="Q75" s="81">
        <f t="shared" ref="Q75:Q92" si="42">SUM(G75:P75)</f>
        <v>45600</v>
      </c>
      <c r="R75" s="28"/>
      <c r="S75" s="28"/>
      <c r="T75" s="83">
        <f>(G52*'Conversion factors BATT'!$B73+(1-G52)*'Conversion factors BATT'!$B94)*G75</f>
        <v>27888.000000000004</v>
      </c>
      <c r="U75" s="83">
        <f>(H52*'Conversion factors BATT'!$B73+(1-H52)*'Conversion factors BATT'!$B94)*H75</f>
        <v>55776.000000000007</v>
      </c>
      <c r="V75" s="83">
        <f>(I52*'Conversion factors BATT'!$B73+(1-I52)*'Conversion factors BATT'!$B94)*I75</f>
        <v>55776.000000000007</v>
      </c>
      <c r="W75" s="83">
        <f>(J52*'Conversion factors BATT'!$B73+(1-J52)*'Conversion factors BATT'!$B94)*J75</f>
        <v>55776.000000000007</v>
      </c>
      <c r="X75" s="83">
        <f>(K52*'Conversion factors BATT'!$B73+(1-K52)*'Conversion factors BATT'!$B94)*K75</f>
        <v>55776.000000000007</v>
      </c>
      <c r="Y75" s="83">
        <f>(L52*'Conversion factors BATT'!$B73+(1-L52)*'Conversion factors BATT'!$B94)*L75</f>
        <v>55776.000000000007</v>
      </c>
      <c r="Z75" s="83">
        <f>(M52*'Conversion factors BATT'!$B73+(1-M52)*'Conversion factors BATT'!$B94)*M75</f>
        <v>55776.000000000007</v>
      </c>
      <c r="AA75" s="83">
        <f>(N52*'Conversion factors BATT'!$B73+(1-N52)*'Conversion factors BATT'!$B94)*N75</f>
        <v>55776.000000000007</v>
      </c>
      <c r="AB75" s="83">
        <f>(O52*'Conversion factors BATT'!$B73+(1-O52)*'Conversion factors BATT'!$B94)*O75</f>
        <v>55776.000000000007</v>
      </c>
      <c r="AC75" s="83">
        <f>(P52*'Conversion factors BATT'!$B73+(1-P52)*'Conversion factors BATT'!$B94)*P75</f>
        <v>55776.000000000007</v>
      </c>
      <c r="AD75" s="83">
        <f t="shared" si="41"/>
        <v>529872.00000000012</v>
      </c>
      <c r="AE75" s="28"/>
      <c r="AF75" s="26"/>
      <c r="AG75" s="28"/>
      <c r="AH75" s="28"/>
      <c r="AI75" s="28"/>
      <c r="AJ75" s="28"/>
      <c r="AK75" s="26"/>
    </row>
    <row r="76" spans="1:37" ht="31" customHeight="1" thickBot="1" x14ac:dyDescent="0.4">
      <c r="A76" s="23" t="s">
        <v>388</v>
      </c>
      <c r="B76" s="23" t="s">
        <v>392</v>
      </c>
      <c r="C76" s="23" t="s">
        <v>137</v>
      </c>
      <c r="D76" s="22" t="s">
        <v>511</v>
      </c>
      <c r="E76" s="23" t="s">
        <v>135</v>
      </c>
      <c r="F76" s="26" t="s">
        <v>107</v>
      </c>
      <c r="G76" s="86">
        <f>G$16*'Conversion factors BATT'!$B29</f>
        <v>0</v>
      </c>
      <c r="H76" s="86">
        <f>H$16*'Conversion factors BATT'!$B29</f>
        <v>0</v>
      </c>
      <c r="I76" s="86">
        <f>I$16*'Conversion factors BATT'!$B29</f>
        <v>0</v>
      </c>
      <c r="J76" s="86">
        <f>J$16*'Conversion factors BATT'!$B29</f>
        <v>0</v>
      </c>
      <c r="K76" s="86">
        <f>K$16*'Conversion factors BATT'!$B29</f>
        <v>0</v>
      </c>
      <c r="L76" s="86">
        <f>L$16*'Conversion factors BATT'!$B29</f>
        <v>0</v>
      </c>
      <c r="M76" s="86">
        <f>M$16*'Conversion factors BATT'!$B29</f>
        <v>0</v>
      </c>
      <c r="N76" s="86">
        <f>N$16*'Conversion factors BATT'!$B29</f>
        <v>0</v>
      </c>
      <c r="O76" s="86">
        <f>O$16*'Conversion factors BATT'!$B29</f>
        <v>0</v>
      </c>
      <c r="P76" s="86">
        <f>P$16*'Conversion factors BATT'!$B29</f>
        <v>0</v>
      </c>
      <c r="Q76" s="81">
        <f t="shared" si="42"/>
        <v>0</v>
      </c>
      <c r="R76" s="28"/>
      <c r="S76" s="28"/>
      <c r="T76" s="83">
        <f>(G53*'Conversion factors BATT'!$B74+(1-G53)*'Conversion factors BATT'!$B95)*G76</f>
        <v>0</v>
      </c>
      <c r="U76" s="83">
        <f>(H53*'Conversion factors BATT'!$B74+(1-H53)*'Conversion factors BATT'!$B95)*H76</f>
        <v>0</v>
      </c>
      <c r="V76" s="83">
        <f>(I53*'Conversion factors BATT'!$B74+(1-I53)*'Conversion factors BATT'!$B95)*I76</f>
        <v>0</v>
      </c>
      <c r="W76" s="83">
        <f>(J53*'Conversion factors BATT'!$B74+(1-J53)*'Conversion factors BATT'!$B95)*J76</f>
        <v>0</v>
      </c>
      <c r="X76" s="83">
        <f>(K53*'Conversion factors BATT'!$B74+(1-K53)*'Conversion factors BATT'!$B95)*K76</f>
        <v>0</v>
      </c>
      <c r="Y76" s="83">
        <f>(L53*'Conversion factors BATT'!$B74+(1-L53)*'Conversion factors BATT'!$B95)*L76</f>
        <v>0</v>
      </c>
      <c r="Z76" s="83">
        <f>(M53*'Conversion factors BATT'!$B74+(1-M53)*'Conversion factors BATT'!$B95)*M76</f>
        <v>0</v>
      </c>
      <c r="AA76" s="83">
        <f>(N53*'Conversion factors BATT'!$B74+(1-N53)*'Conversion factors BATT'!$B95)*N76</f>
        <v>0</v>
      </c>
      <c r="AB76" s="83">
        <f>(O53*'Conversion factors BATT'!$B74+(1-O53)*'Conversion factors BATT'!$B95)*O76</f>
        <v>0</v>
      </c>
      <c r="AC76" s="83">
        <f>(P53*'Conversion factors BATT'!$B74+(1-P53)*'Conversion factors BATT'!$B95)*P76</f>
        <v>0</v>
      </c>
      <c r="AD76" s="83">
        <f t="shared" si="41"/>
        <v>0</v>
      </c>
      <c r="AE76" s="28"/>
      <c r="AF76" s="26"/>
      <c r="AG76" s="28"/>
      <c r="AH76" s="28"/>
      <c r="AI76" s="28"/>
      <c r="AJ76" s="28"/>
      <c r="AK76" s="26"/>
    </row>
    <row r="77" spans="1:37" ht="31" customHeight="1" thickBot="1" x14ac:dyDescent="0.4">
      <c r="A77" s="23" t="s">
        <v>388</v>
      </c>
      <c r="B77" s="23" t="s">
        <v>581</v>
      </c>
      <c r="C77" s="23" t="s">
        <v>523</v>
      </c>
      <c r="D77" s="22" t="s">
        <v>593</v>
      </c>
      <c r="E77" s="23" t="s">
        <v>135</v>
      </c>
      <c r="F77" s="26" t="s">
        <v>107</v>
      </c>
      <c r="G77" s="86">
        <f>G$16*'Conversion factors BATT'!$B30</f>
        <v>900</v>
      </c>
      <c r="H77" s="86">
        <f>H$16*'Conversion factors BATT'!$B30</f>
        <v>1800</v>
      </c>
      <c r="I77" s="86">
        <f>I$16*'Conversion factors BATT'!$B30</f>
        <v>1800</v>
      </c>
      <c r="J77" s="86">
        <f>J$16*'Conversion factors BATT'!$B30</f>
        <v>1800</v>
      </c>
      <c r="K77" s="86">
        <f>K$16*'Conversion factors BATT'!$B30</f>
        <v>1800</v>
      </c>
      <c r="L77" s="86">
        <f>L$16*'Conversion factors BATT'!$B30</f>
        <v>1800</v>
      </c>
      <c r="M77" s="86">
        <f>M$16*'Conversion factors BATT'!$B30</f>
        <v>1800</v>
      </c>
      <c r="N77" s="86">
        <f>N$16*'Conversion factors BATT'!$B30</f>
        <v>1800</v>
      </c>
      <c r="O77" s="86">
        <f>O$16*'Conversion factors BATT'!$B30</f>
        <v>1800</v>
      </c>
      <c r="P77" s="86">
        <f>P$16*'Conversion factors BATT'!$B30</f>
        <v>1800</v>
      </c>
      <c r="Q77" s="81">
        <f>SUM(G77:P77)</f>
        <v>17100</v>
      </c>
      <c r="R77" s="28"/>
      <c r="S77" s="28"/>
      <c r="T77" s="83">
        <f>(G54*'Conversion factors BATT'!$B75+(1-G54)*'Conversion factors BATT'!$B96)*G77</f>
        <v>1962.0000000000002</v>
      </c>
      <c r="U77" s="83">
        <f>(H54*'Conversion factors BATT'!$B75+(1-H54)*'Conversion factors BATT'!$B96)*H77</f>
        <v>3924.0000000000005</v>
      </c>
      <c r="V77" s="83">
        <f>(I54*'Conversion factors BATT'!$B75+(1-I54)*'Conversion factors BATT'!$B96)*I77</f>
        <v>3924.0000000000005</v>
      </c>
      <c r="W77" s="83">
        <f>(J54*'Conversion factors BATT'!$B75+(1-J54)*'Conversion factors BATT'!$B96)*J77</f>
        <v>3924.0000000000005</v>
      </c>
      <c r="X77" s="83">
        <f>(K54*'Conversion factors BATT'!$B75+(1-K54)*'Conversion factors BATT'!$B96)*K77</f>
        <v>3924.0000000000005</v>
      </c>
      <c r="Y77" s="83">
        <f>(L54*'Conversion factors BATT'!$B75+(1-L54)*'Conversion factors BATT'!$B96)*L77</f>
        <v>3924.0000000000005</v>
      </c>
      <c r="Z77" s="83">
        <f>(M54*'Conversion factors BATT'!$B75+(1-M54)*'Conversion factors BATT'!$B96)*M77</f>
        <v>3924.0000000000005</v>
      </c>
      <c r="AA77" s="83">
        <f>(N54*'Conversion factors BATT'!$B75+(1-N54)*'Conversion factors BATT'!$B96)*N77</f>
        <v>3924.0000000000005</v>
      </c>
      <c r="AB77" s="83">
        <f>(O54*'Conversion factors BATT'!$B75+(1-O54)*'Conversion factors BATT'!$B96)*O77</f>
        <v>3924.0000000000005</v>
      </c>
      <c r="AC77" s="83">
        <f>(P54*'Conversion factors BATT'!$B75+(1-P54)*'Conversion factors BATT'!$B96)*P77</f>
        <v>3924.0000000000005</v>
      </c>
      <c r="AD77" s="83">
        <f>SUM(T77:AC77)</f>
        <v>37278.000000000007</v>
      </c>
      <c r="AE77" s="28"/>
      <c r="AF77" s="26"/>
      <c r="AG77" s="28"/>
      <c r="AH77" s="28"/>
      <c r="AI77" s="28"/>
      <c r="AJ77" s="28"/>
      <c r="AK77" s="26"/>
    </row>
    <row r="78" spans="1:37" ht="31" customHeight="1" thickBot="1" x14ac:dyDescent="0.4">
      <c r="A78" s="23" t="s">
        <v>388</v>
      </c>
      <c r="B78" s="23" t="s">
        <v>401</v>
      </c>
      <c r="C78" s="23" t="s">
        <v>146</v>
      </c>
      <c r="D78" s="22" t="s">
        <v>520</v>
      </c>
      <c r="E78" s="23" t="s">
        <v>135</v>
      </c>
      <c r="F78" s="26" t="s">
        <v>107</v>
      </c>
      <c r="G78" s="86">
        <f>G$16*'Conversion factors BATT'!$B31</f>
        <v>0</v>
      </c>
      <c r="H78" s="86">
        <f>H$16*'Conversion factors BATT'!$B31</f>
        <v>0</v>
      </c>
      <c r="I78" s="86">
        <f>I$16*'Conversion factors BATT'!$B31</f>
        <v>0</v>
      </c>
      <c r="J78" s="86">
        <f>J$16*'Conversion factors BATT'!$B31</f>
        <v>0</v>
      </c>
      <c r="K78" s="86">
        <f>K$16*'Conversion factors BATT'!$B31</f>
        <v>0</v>
      </c>
      <c r="L78" s="86">
        <f>L$16*'Conversion factors BATT'!$B31</f>
        <v>0</v>
      </c>
      <c r="M78" s="86">
        <f>M$16*'Conversion factors BATT'!$B31</f>
        <v>0</v>
      </c>
      <c r="N78" s="86">
        <f>N$16*'Conversion factors BATT'!$B31</f>
        <v>0</v>
      </c>
      <c r="O78" s="86">
        <f>O$16*'Conversion factors BATT'!$B31</f>
        <v>0</v>
      </c>
      <c r="P78" s="86">
        <f>P$16*'Conversion factors BATT'!$B31</f>
        <v>0</v>
      </c>
      <c r="Q78" s="81">
        <f>SUM(G78:P78)</f>
        <v>0</v>
      </c>
      <c r="R78" s="28"/>
      <c r="S78" s="28"/>
      <c r="T78" s="83">
        <f>(G55*'Conversion factors BATT'!$B76+(1-G55)*'Conversion factors BATT'!$B97)*G78</f>
        <v>0</v>
      </c>
      <c r="U78" s="83">
        <f>(H55*'Conversion factors BATT'!$B76+(1-H55)*'Conversion factors BATT'!$B97)*H78</f>
        <v>0</v>
      </c>
      <c r="V78" s="83">
        <f>(I55*'Conversion factors BATT'!$B76+(1-I55)*'Conversion factors BATT'!$B97)*I78</f>
        <v>0</v>
      </c>
      <c r="W78" s="83">
        <f>(J55*'Conversion factors BATT'!$B76+(1-J55)*'Conversion factors BATT'!$B97)*J78</f>
        <v>0</v>
      </c>
      <c r="X78" s="83">
        <f>(K55*'Conversion factors BATT'!$B76+(1-K55)*'Conversion factors BATT'!$B97)*K78</f>
        <v>0</v>
      </c>
      <c r="Y78" s="83">
        <f>(L55*'Conversion factors BATT'!$B76+(1-L55)*'Conversion factors BATT'!$B97)*L78</f>
        <v>0</v>
      </c>
      <c r="Z78" s="83">
        <f>(M55*'Conversion factors BATT'!$B76+(1-M55)*'Conversion factors BATT'!$B97)*M78</f>
        <v>0</v>
      </c>
      <c r="AA78" s="83">
        <f>(N55*'Conversion factors BATT'!$B76+(1-N55)*'Conversion factors BATT'!$B97)*N78</f>
        <v>0</v>
      </c>
      <c r="AB78" s="83">
        <f>(O55*'Conversion factors BATT'!$B76+(1-O55)*'Conversion factors BATT'!$B97)*O78</f>
        <v>0</v>
      </c>
      <c r="AC78" s="83">
        <f>(P55*'Conversion factors BATT'!$B76+(1-P55)*'Conversion factors BATT'!$B97)*P78</f>
        <v>0</v>
      </c>
      <c r="AD78" s="83">
        <f>SUM(T78:AC78)</f>
        <v>0</v>
      </c>
      <c r="AE78" s="28"/>
      <c r="AF78" s="26"/>
      <c r="AG78" s="28"/>
      <c r="AH78" s="28"/>
      <c r="AI78" s="28"/>
      <c r="AJ78" s="28"/>
      <c r="AK78" s="26"/>
    </row>
    <row r="79" spans="1:37" ht="31" customHeight="1" thickBot="1" x14ac:dyDescent="0.4">
      <c r="A79" s="23" t="s">
        <v>388</v>
      </c>
      <c r="B79" s="23" t="s">
        <v>580</v>
      </c>
      <c r="C79" s="23" t="s">
        <v>532</v>
      </c>
      <c r="D79" s="22" t="s">
        <v>592</v>
      </c>
      <c r="E79" s="23" t="s">
        <v>135</v>
      </c>
      <c r="F79" s="26" t="s">
        <v>107</v>
      </c>
      <c r="G79" s="86">
        <f>G$16*'Conversion factors BATT'!$B32</f>
        <v>0</v>
      </c>
      <c r="H79" s="86">
        <f>H$16*'Conversion factors BATT'!$B32</f>
        <v>0</v>
      </c>
      <c r="I79" s="86">
        <f>I$16*'Conversion factors BATT'!$B32</f>
        <v>0</v>
      </c>
      <c r="J79" s="86">
        <f>J$16*'Conversion factors BATT'!$B32</f>
        <v>0</v>
      </c>
      <c r="K79" s="86">
        <f>K$16*'Conversion factors BATT'!$B32</f>
        <v>0</v>
      </c>
      <c r="L79" s="86">
        <f>L$16*'Conversion factors BATT'!$B32</f>
        <v>0</v>
      </c>
      <c r="M79" s="86">
        <f>M$16*'Conversion factors BATT'!$B32</f>
        <v>0</v>
      </c>
      <c r="N79" s="86">
        <f>N$16*'Conversion factors BATT'!$B32</f>
        <v>0</v>
      </c>
      <c r="O79" s="86">
        <f>O$16*'Conversion factors BATT'!$B32</f>
        <v>0</v>
      </c>
      <c r="P79" s="86">
        <f>P$16*'Conversion factors BATT'!$B32</f>
        <v>0</v>
      </c>
      <c r="Q79" s="81">
        <f>SUM(G79:P79)</f>
        <v>0</v>
      </c>
      <c r="R79" s="28"/>
      <c r="S79" s="28"/>
      <c r="T79" s="83">
        <f>(G56*'Conversion factors BATT'!$B77+(1-G56)*'Conversion factors BATT'!$B98)*G79</f>
        <v>0</v>
      </c>
      <c r="U79" s="83">
        <f>(H56*'Conversion factors BATT'!$B77+(1-H56)*'Conversion factors BATT'!$B98)*H79</f>
        <v>0</v>
      </c>
      <c r="V79" s="83">
        <f>(I56*'Conversion factors BATT'!$B77+(1-I56)*'Conversion factors BATT'!$B98)*I79</f>
        <v>0</v>
      </c>
      <c r="W79" s="83">
        <f>(J56*'Conversion factors BATT'!$B77+(1-J56)*'Conversion factors BATT'!$B98)*J79</f>
        <v>0</v>
      </c>
      <c r="X79" s="83">
        <f>(K56*'Conversion factors BATT'!$B77+(1-K56)*'Conversion factors BATT'!$B98)*K79</f>
        <v>0</v>
      </c>
      <c r="Y79" s="83">
        <f>(L56*'Conversion factors BATT'!$B77+(1-L56)*'Conversion factors BATT'!$B98)*L79</f>
        <v>0</v>
      </c>
      <c r="Z79" s="83">
        <f>(M56*'Conversion factors BATT'!$B77+(1-M56)*'Conversion factors BATT'!$B98)*M79</f>
        <v>0</v>
      </c>
      <c r="AA79" s="83">
        <f>(N56*'Conversion factors BATT'!$B77+(1-N56)*'Conversion factors BATT'!$B98)*N79</f>
        <v>0</v>
      </c>
      <c r="AB79" s="83">
        <f>(O56*'Conversion factors BATT'!$B77+(1-O56)*'Conversion factors BATT'!$B98)*O79</f>
        <v>0</v>
      </c>
      <c r="AC79" s="83">
        <f>(P56*'Conversion factors BATT'!$B77+(1-P56)*'Conversion factors BATT'!$B98)*P79</f>
        <v>0</v>
      </c>
      <c r="AD79" s="83">
        <f>SUM(T79:AC79)</f>
        <v>0</v>
      </c>
      <c r="AE79" s="28"/>
      <c r="AF79" s="26"/>
      <c r="AG79" s="28"/>
      <c r="AH79" s="28"/>
      <c r="AI79" s="28"/>
      <c r="AJ79" s="28"/>
      <c r="AK79" s="26"/>
    </row>
    <row r="80" spans="1:37" ht="31" customHeight="1" thickBot="1" x14ac:dyDescent="0.4">
      <c r="A80" s="23" t="s">
        <v>388</v>
      </c>
      <c r="B80" s="23" t="s">
        <v>393</v>
      </c>
      <c r="C80" s="23" t="s">
        <v>138</v>
      </c>
      <c r="D80" s="22" t="s">
        <v>512</v>
      </c>
      <c r="E80" s="23" t="s">
        <v>135</v>
      </c>
      <c r="F80" s="26" t="s">
        <v>107</v>
      </c>
      <c r="G80" s="86">
        <f>G$16*'Conversion factors BATT'!$B33</f>
        <v>0</v>
      </c>
      <c r="H80" s="86">
        <f>H$16*'Conversion factors BATT'!$B33</f>
        <v>0</v>
      </c>
      <c r="I80" s="86">
        <f>I$16*'Conversion factors BATT'!$B33</f>
        <v>0</v>
      </c>
      <c r="J80" s="86">
        <f>J$16*'Conversion factors BATT'!$B33</f>
        <v>0</v>
      </c>
      <c r="K80" s="86">
        <f>K$16*'Conversion factors BATT'!$B33</f>
        <v>0</v>
      </c>
      <c r="L80" s="86">
        <f>L$16*'Conversion factors BATT'!$B33</f>
        <v>0</v>
      </c>
      <c r="M80" s="86">
        <f>M$16*'Conversion factors BATT'!$B33</f>
        <v>0</v>
      </c>
      <c r="N80" s="86">
        <f>N$16*'Conversion factors BATT'!$B33</f>
        <v>0</v>
      </c>
      <c r="O80" s="86">
        <f>O$16*'Conversion factors BATT'!$B33</f>
        <v>0</v>
      </c>
      <c r="P80" s="86">
        <f>P$16*'Conversion factors BATT'!$B33</f>
        <v>0</v>
      </c>
      <c r="Q80" s="81">
        <f t="shared" si="42"/>
        <v>0</v>
      </c>
      <c r="R80" s="28"/>
      <c r="S80" s="28"/>
      <c r="T80" s="83">
        <f>(G57*'Conversion factors BATT'!$B78+(1-G57)*'Conversion factors BATT'!$B99)*G80</f>
        <v>0</v>
      </c>
      <c r="U80" s="83">
        <f>(H57*'Conversion factors BATT'!$B78+(1-H57)*'Conversion factors BATT'!$B99)*H80</f>
        <v>0</v>
      </c>
      <c r="V80" s="83">
        <f>(I57*'Conversion factors BATT'!$B78+(1-I57)*'Conversion factors BATT'!$B99)*I80</f>
        <v>0</v>
      </c>
      <c r="W80" s="83">
        <f>(J57*'Conversion factors BATT'!$B78+(1-J57)*'Conversion factors BATT'!$B99)*J80</f>
        <v>0</v>
      </c>
      <c r="X80" s="83">
        <f>(K57*'Conversion factors BATT'!$B78+(1-K57)*'Conversion factors BATT'!$B99)*K80</f>
        <v>0</v>
      </c>
      <c r="Y80" s="83">
        <f>(L57*'Conversion factors BATT'!$B78+(1-L57)*'Conversion factors BATT'!$B99)*L80</f>
        <v>0</v>
      </c>
      <c r="Z80" s="83">
        <f>(M57*'Conversion factors BATT'!$B78+(1-M57)*'Conversion factors BATT'!$B99)*M80</f>
        <v>0</v>
      </c>
      <c r="AA80" s="83">
        <f>(N57*'Conversion factors BATT'!$B78+(1-N57)*'Conversion factors BATT'!$B99)*N80</f>
        <v>0</v>
      </c>
      <c r="AB80" s="83">
        <f>(O57*'Conversion factors BATT'!$B78+(1-O57)*'Conversion factors BATT'!$B99)*O80</f>
        <v>0</v>
      </c>
      <c r="AC80" s="83">
        <f>(P57*'Conversion factors BATT'!$B78+(1-P57)*'Conversion factors BATT'!$B99)*P80</f>
        <v>0</v>
      </c>
      <c r="AD80" s="83">
        <f t="shared" si="41"/>
        <v>0</v>
      </c>
      <c r="AE80" s="28"/>
      <c r="AF80" s="26"/>
      <c r="AG80" s="28"/>
      <c r="AH80" s="28"/>
      <c r="AI80" s="28"/>
      <c r="AJ80" s="28"/>
      <c r="AK80" s="26"/>
    </row>
    <row r="81" spans="1:37" ht="31" customHeight="1" thickBot="1" x14ac:dyDescent="0.4">
      <c r="A81" s="23" t="s">
        <v>388</v>
      </c>
      <c r="B81" s="23" t="s">
        <v>394</v>
      </c>
      <c r="C81" s="23" t="s">
        <v>139</v>
      </c>
      <c r="D81" s="22" t="s">
        <v>513</v>
      </c>
      <c r="E81" s="23" t="s">
        <v>135</v>
      </c>
      <c r="F81" s="26" t="s">
        <v>107</v>
      </c>
      <c r="G81" s="86">
        <f>G$16*'Conversion factors BATT'!$B34</f>
        <v>0</v>
      </c>
      <c r="H81" s="86">
        <f>H$16*'Conversion factors BATT'!$B34</f>
        <v>0</v>
      </c>
      <c r="I81" s="86">
        <f>I$16*'Conversion factors BATT'!$B34</f>
        <v>0</v>
      </c>
      <c r="J81" s="86">
        <f>J$16*'Conversion factors BATT'!$B34</f>
        <v>0</v>
      </c>
      <c r="K81" s="86">
        <f>K$16*'Conversion factors BATT'!$B34</f>
        <v>0</v>
      </c>
      <c r="L81" s="86">
        <f>L$16*'Conversion factors BATT'!$B34</f>
        <v>0</v>
      </c>
      <c r="M81" s="86">
        <f>M$16*'Conversion factors BATT'!$B34</f>
        <v>0</v>
      </c>
      <c r="N81" s="86">
        <f>N$16*'Conversion factors BATT'!$B34</f>
        <v>0</v>
      </c>
      <c r="O81" s="86">
        <f>O$16*'Conversion factors BATT'!$B34</f>
        <v>0</v>
      </c>
      <c r="P81" s="86">
        <f>P$16*'Conversion factors BATT'!$B34</f>
        <v>0</v>
      </c>
      <c r="Q81" s="81">
        <f t="shared" si="42"/>
        <v>0</v>
      </c>
      <c r="R81" s="28"/>
      <c r="S81" s="28"/>
      <c r="T81" s="83">
        <f>(G58*'Conversion factors BATT'!$B79+(1-G58)*'Conversion factors BATT'!$B100)*G81</f>
        <v>0</v>
      </c>
      <c r="U81" s="83">
        <f>(H58*'Conversion factors BATT'!$B79+(1-H58)*'Conversion factors BATT'!$B100)*H81</f>
        <v>0</v>
      </c>
      <c r="V81" s="83">
        <f>(I58*'Conversion factors BATT'!$B79+(1-I58)*'Conversion factors BATT'!$B100)*I81</f>
        <v>0</v>
      </c>
      <c r="W81" s="83">
        <f>(J58*'Conversion factors BATT'!$B79+(1-J58)*'Conversion factors BATT'!$B100)*J81</f>
        <v>0</v>
      </c>
      <c r="X81" s="83">
        <f>(K58*'Conversion factors BATT'!$B79+(1-K58)*'Conversion factors BATT'!$B100)*K81</f>
        <v>0</v>
      </c>
      <c r="Y81" s="83">
        <f>(L58*'Conversion factors BATT'!$B79+(1-L58)*'Conversion factors BATT'!$B100)*L81</f>
        <v>0</v>
      </c>
      <c r="Z81" s="83">
        <f>(M58*'Conversion factors BATT'!$B79+(1-M58)*'Conversion factors BATT'!$B100)*M81</f>
        <v>0</v>
      </c>
      <c r="AA81" s="83">
        <f>(N58*'Conversion factors BATT'!$B79+(1-N58)*'Conversion factors BATT'!$B100)*N81</f>
        <v>0</v>
      </c>
      <c r="AB81" s="83">
        <f>(O58*'Conversion factors BATT'!$B79+(1-O58)*'Conversion factors BATT'!$B100)*O81</f>
        <v>0</v>
      </c>
      <c r="AC81" s="83">
        <f>(P58*'Conversion factors BATT'!$B79+(1-P58)*'Conversion factors BATT'!$B100)*P81</f>
        <v>0</v>
      </c>
      <c r="AD81" s="83">
        <f t="shared" si="41"/>
        <v>0</v>
      </c>
      <c r="AE81" s="28"/>
      <c r="AF81" s="26"/>
      <c r="AG81" s="28"/>
      <c r="AH81" s="28"/>
      <c r="AI81" s="28"/>
      <c r="AJ81" s="28"/>
      <c r="AK81" s="26"/>
    </row>
    <row r="82" spans="1:37" ht="31" customHeight="1" thickBot="1" x14ac:dyDescent="0.4">
      <c r="A82" s="23" t="s">
        <v>388</v>
      </c>
      <c r="B82" s="23" t="s">
        <v>395</v>
      </c>
      <c r="C82" s="23" t="s">
        <v>140</v>
      </c>
      <c r="D82" s="22" t="s">
        <v>514</v>
      </c>
      <c r="E82" s="23" t="s">
        <v>135</v>
      </c>
      <c r="F82" s="26" t="s">
        <v>107</v>
      </c>
      <c r="G82" s="86">
        <f>G$16*'Conversion factors BATT'!$B35</f>
        <v>620</v>
      </c>
      <c r="H82" s="86">
        <f>H$16*'Conversion factors BATT'!$B35</f>
        <v>1240</v>
      </c>
      <c r="I82" s="86">
        <f>I$16*'Conversion factors BATT'!$B35</f>
        <v>1240</v>
      </c>
      <c r="J82" s="86">
        <f>J$16*'Conversion factors BATT'!$B35</f>
        <v>1240</v>
      </c>
      <c r="K82" s="86">
        <f>K$16*'Conversion factors BATT'!$B35</f>
        <v>1240</v>
      </c>
      <c r="L82" s="86">
        <f>L$16*'Conversion factors BATT'!$B35</f>
        <v>1240</v>
      </c>
      <c r="M82" s="86">
        <f>M$16*'Conversion factors BATT'!$B35</f>
        <v>1240</v>
      </c>
      <c r="N82" s="86">
        <f>N$16*'Conversion factors BATT'!$B35</f>
        <v>1240</v>
      </c>
      <c r="O82" s="86">
        <f>O$16*'Conversion factors BATT'!$B35</f>
        <v>1240</v>
      </c>
      <c r="P82" s="86">
        <f>P$16*'Conversion factors BATT'!$B35</f>
        <v>1240</v>
      </c>
      <c r="Q82" s="81">
        <f t="shared" si="42"/>
        <v>11780</v>
      </c>
      <c r="R82" s="28"/>
      <c r="S82" s="28"/>
      <c r="T82" s="83">
        <f>(G59*'Conversion factors BATT'!$B80+(1-G59)*'Conversion factors BATT'!$B101)*G82</f>
        <v>3844</v>
      </c>
      <c r="U82" s="83">
        <f>(H59*'Conversion factors BATT'!$B80+(1-H59)*'Conversion factors BATT'!$B101)*H82</f>
        <v>7688</v>
      </c>
      <c r="V82" s="83">
        <f>(I59*'Conversion factors BATT'!$B80+(1-I59)*'Conversion factors BATT'!$B101)*I82</f>
        <v>7688</v>
      </c>
      <c r="W82" s="83">
        <f>(J59*'Conversion factors BATT'!$B80+(1-J59)*'Conversion factors BATT'!$B101)*J82</f>
        <v>7688</v>
      </c>
      <c r="X82" s="83">
        <f>(K59*'Conversion factors BATT'!$B80+(1-K59)*'Conversion factors BATT'!$B101)*K82</f>
        <v>7688</v>
      </c>
      <c r="Y82" s="83">
        <f>(L59*'Conversion factors BATT'!$B80+(1-L59)*'Conversion factors BATT'!$B101)*L82</f>
        <v>7688</v>
      </c>
      <c r="Z82" s="83">
        <f>(M59*'Conversion factors BATT'!$B80+(1-M59)*'Conversion factors BATT'!$B101)*M82</f>
        <v>7688</v>
      </c>
      <c r="AA82" s="83">
        <f>(N59*'Conversion factors BATT'!$B80+(1-N59)*'Conversion factors BATT'!$B101)*N82</f>
        <v>7688</v>
      </c>
      <c r="AB82" s="83">
        <f>(O59*'Conversion factors BATT'!$B80+(1-O59)*'Conversion factors BATT'!$B101)*O82</f>
        <v>7688</v>
      </c>
      <c r="AC82" s="83">
        <f>(P59*'Conversion factors BATT'!$B80+(1-P59)*'Conversion factors BATT'!$B101)*P82</f>
        <v>7688</v>
      </c>
      <c r="AD82" s="83">
        <f t="shared" si="41"/>
        <v>73036</v>
      </c>
      <c r="AE82" s="28"/>
      <c r="AF82" s="26"/>
      <c r="AG82" s="28"/>
      <c r="AH82" s="28"/>
      <c r="AI82" s="28"/>
      <c r="AJ82" s="28"/>
      <c r="AK82" s="26"/>
    </row>
    <row r="83" spans="1:37" ht="31" customHeight="1" thickBot="1" x14ac:dyDescent="0.4">
      <c r="A83" s="23" t="s">
        <v>388</v>
      </c>
      <c r="B83" s="23" t="s">
        <v>396</v>
      </c>
      <c r="C83" s="23" t="s">
        <v>141</v>
      </c>
      <c r="D83" s="22" t="s">
        <v>515</v>
      </c>
      <c r="E83" s="23" t="s">
        <v>135</v>
      </c>
      <c r="F83" s="26" t="s">
        <v>107</v>
      </c>
      <c r="G83" s="86">
        <f>G$16*'Conversion factors BATT'!$B36</f>
        <v>568</v>
      </c>
      <c r="H83" s="86">
        <f>H$16*'Conversion factors BATT'!$B36</f>
        <v>1136</v>
      </c>
      <c r="I83" s="86">
        <f>I$16*'Conversion factors BATT'!$B36</f>
        <v>1136</v>
      </c>
      <c r="J83" s="86">
        <f>J$16*'Conversion factors BATT'!$B36</f>
        <v>1136</v>
      </c>
      <c r="K83" s="86">
        <f>K$16*'Conversion factors BATT'!$B36</f>
        <v>1136</v>
      </c>
      <c r="L83" s="86">
        <f>L$16*'Conversion factors BATT'!$B36</f>
        <v>1136</v>
      </c>
      <c r="M83" s="86">
        <f>M$16*'Conversion factors BATT'!$B36</f>
        <v>1136</v>
      </c>
      <c r="N83" s="86">
        <f>N$16*'Conversion factors BATT'!$B36</f>
        <v>1136</v>
      </c>
      <c r="O83" s="86">
        <f>O$16*'Conversion factors BATT'!$B36</f>
        <v>1136</v>
      </c>
      <c r="P83" s="86">
        <f>P$16*'Conversion factors BATT'!$B36</f>
        <v>1136</v>
      </c>
      <c r="Q83" s="81">
        <f t="shared" si="42"/>
        <v>10792</v>
      </c>
      <c r="R83" s="28"/>
      <c r="S83" s="28"/>
      <c r="T83" s="83">
        <f>(G60*'Conversion factors BATT'!$B81+(1-G60)*'Conversion factors BATT'!$B102)*G83</f>
        <v>134.048</v>
      </c>
      <c r="U83" s="83">
        <f>(H60*'Conversion factors BATT'!$B81+(1-H60)*'Conversion factors BATT'!$B102)*H83</f>
        <v>268.096</v>
      </c>
      <c r="V83" s="83">
        <f>(I60*'Conversion factors BATT'!$B81+(1-I60)*'Conversion factors BATT'!$B102)*I83</f>
        <v>268.096</v>
      </c>
      <c r="W83" s="83">
        <f>(J60*'Conversion factors BATT'!$B81+(1-J60)*'Conversion factors BATT'!$B102)*J83</f>
        <v>268.096</v>
      </c>
      <c r="X83" s="83">
        <f>(K60*'Conversion factors BATT'!$B81+(1-K60)*'Conversion factors BATT'!$B102)*K83</f>
        <v>268.096</v>
      </c>
      <c r="Y83" s="83">
        <f>(L60*'Conversion factors BATT'!$B81+(1-L60)*'Conversion factors BATT'!$B102)*L83</f>
        <v>268.096</v>
      </c>
      <c r="Z83" s="83">
        <f>(M60*'Conversion factors BATT'!$B81+(1-M60)*'Conversion factors BATT'!$B102)*M83</f>
        <v>268.096</v>
      </c>
      <c r="AA83" s="83">
        <f>(N60*'Conversion factors BATT'!$B81+(1-N60)*'Conversion factors BATT'!$B102)*N83</f>
        <v>268.096</v>
      </c>
      <c r="AB83" s="83">
        <f>(O60*'Conversion factors BATT'!$B81+(1-O60)*'Conversion factors BATT'!$B102)*O83</f>
        <v>268.096</v>
      </c>
      <c r="AC83" s="83">
        <f>(P60*'Conversion factors BATT'!$B81+(1-P60)*'Conversion factors BATT'!$B102)*P83</f>
        <v>268.096</v>
      </c>
      <c r="AD83" s="83">
        <f t="shared" si="41"/>
        <v>2546.9119999999998</v>
      </c>
      <c r="AE83" s="28"/>
      <c r="AF83" s="26"/>
      <c r="AG83" s="28"/>
      <c r="AH83" s="28"/>
      <c r="AI83" s="28"/>
      <c r="AJ83" s="28"/>
      <c r="AK83" s="26"/>
    </row>
    <row r="84" spans="1:37" ht="31" customHeight="1" thickBot="1" x14ac:dyDescent="0.4">
      <c r="A84" s="23" t="s">
        <v>388</v>
      </c>
      <c r="B84" s="23" t="s">
        <v>397</v>
      </c>
      <c r="C84" s="23" t="s">
        <v>142</v>
      </c>
      <c r="D84" s="22" t="s">
        <v>516</v>
      </c>
      <c r="E84" s="23" t="s">
        <v>135</v>
      </c>
      <c r="F84" s="26" t="s">
        <v>107</v>
      </c>
      <c r="G84" s="86">
        <f>G$16*'Conversion factors BATT'!$B37</f>
        <v>664</v>
      </c>
      <c r="H84" s="86">
        <f>H$16*'Conversion factors BATT'!$B37</f>
        <v>1328</v>
      </c>
      <c r="I84" s="86">
        <f>I$16*'Conversion factors BATT'!$B37</f>
        <v>1328</v>
      </c>
      <c r="J84" s="86">
        <f>J$16*'Conversion factors BATT'!$B37</f>
        <v>1328</v>
      </c>
      <c r="K84" s="86">
        <f>K$16*'Conversion factors BATT'!$B37</f>
        <v>1328</v>
      </c>
      <c r="L84" s="86">
        <f>L$16*'Conversion factors BATT'!$B37</f>
        <v>1328</v>
      </c>
      <c r="M84" s="86">
        <f>M$16*'Conversion factors BATT'!$B37</f>
        <v>1328</v>
      </c>
      <c r="N84" s="86">
        <f>N$16*'Conversion factors BATT'!$B37</f>
        <v>1328</v>
      </c>
      <c r="O84" s="86">
        <f>O$16*'Conversion factors BATT'!$B37</f>
        <v>1328</v>
      </c>
      <c r="P84" s="86">
        <f>P$16*'Conversion factors BATT'!$B37</f>
        <v>1328</v>
      </c>
      <c r="Q84" s="81">
        <f t="shared" si="42"/>
        <v>12616</v>
      </c>
      <c r="R84" s="28"/>
      <c r="S84" s="28"/>
      <c r="T84" s="83">
        <f>(G61*'Conversion factors BATT'!$B82+(1-G61)*'Conversion factors BATT'!$B103)*G84</f>
        <v>12231.578947368422</v>
      </c>
      <c r="U84" s="83">
        <f>(H61*'Conversion factors BATT'!$B82+(1-H61)*'Conversion factors BATT'!$B103)*H84</f>
        <v>24463.157894736843</v>
      </c>
      <c r="V84" s="83">
        <f>(I61*'Conversion factors BATT'!$B82+(1-I61)*'Conversion factors BATT'!$B103)*I84</f>
        <v>24463.157894736843</v>
      </c>
      <c r="W84" s="83">
        <f>(J61*'Conversion factors BATT'!$B82+(1-J61)*'Conversion factors BATT'!$B103)*J84</f>
        <v>24463.157894736843</v>
      </c>
      <c r="X84" s="83">
        <f>(K61*'Conversion factors BATT'!$B82+(1-K61)*'Conversion factors BATT'!$B103)*K84</f>
        <v>22206.396631578948</v>
      </c>
      <c r="Y84" s="83">
        <f>(L61*'Conversion factors BATT'!$B82+(1-L61)*'Conversion factors BATT'!$B103)*L84</f>
        <v>22206.396631578948</v>
      </c>
      <c r="Z84" s="83">
        <f>(M61*'Conversion factors BATT'!$B82+(1-M61)*'Conversion factors BATT'!$B103)*M84</f>
        <v>22206.396631578948</v>
      </c>
      <c r="AA84" s="83">
        <f>(N61*'Conversion factors BATT'!$B82+(1-N61)*'Conversion factors BATT'!$B103)*N84</f>
        <v>22206.396631578948</v>
      </c>
      <c r="AB84" s="83">
        <f>(O61*'Conversion factors BATT'!$B82+(1-O61)*'Conversion factors BATT'!$B103)*O84</f>
        <v>22206.396631578948</v>
      </c>
      <c r="AC84" s="83">
        <f>(P61*'Conversion factors BATT'!$B82+(1-P61)*'Conversion factors BATT'!$B103)*P84</f>
        <v>20795.920842105264</v>
      </c>
      <c r="AD84" s="83">
        <f t="shared" si="41"/>
        <v>217448.95663157894</v>
      </c>
      <c r="AE84" s="28"/>
      <c r="AF84" s="26"/>
      <c r="AG84" s="28"/>
      <c r="AH84" s="28"/>
      <c r="AI84" s="28"/>
      <c r="AJ84" s="28"/>
      <c r="AK84" s="26"/>
    </row>
    <row r="85" spans="1:37" ht="31" customHeight="1" thickBot="1" x14ac:dyDescent="0.4">
      <c r="A85" s="23" t="s">
        <v>388</v>
      </c>
      <c r="B85" s="23" t="s">
        <v>398</v>
      </c>
      <c r="C85" s="23" t="s">
        <v>143</v>
      </c>
      <c r="D85" s="22" t="s">
        <v>517</v>
      </c>
      <c r="E85" s="23" t="s">
        <v>135</v>
      </c>
      <c r="F85" s="26" t="s">
        <v>107</v>
      </c>
      <c r="G85" s="86">
        <f>G$16*'Conversion factors BATT'!$B38</f>
        <v>1980</v>
      </c>
      <c r="H85" s="86">
        <f>H$16*'Conversion factors BATT'!$B38</f>
        <v>3960</v>
      </c>
      <c r="I85" s="86">
        <f>I$16*'Conversion factors BATT'!$B38</f>
        <v>3960</v>
      </c>
      <c r="J85" s="86">
        <f>J$16*'Conversion factors BATT'!$B38</f>
        <v>3960</v>
      </c>
      <c r="K85" s="86">
        <f>K$16*'Conversion factors BATT'!$B38</f>
        <v>3960</v>
      </c>
      <c r="L85" s="86">
        <f>L$16*'Conversion factors BATT'!$B38</f>
        <v>3960</v>
      </c>
      <c r="M85" s="86">
        <f>M$16*'Conversion factors BATT'!$B38</f>
        <v>3960</v>
      </c>
      <c r="N85" s="86">
        <f>N$16*'Conversion factors BATT'!$B38</f>
        <v>3960</v>
      </c>
      <c r="O85" s="86">
        <f>O$16*'Conversion factors BATT'!$B38</f>
        <v>3960</v>
      </c>
      <c r="P85" s="86">
        <f>P$16*'Conversion factors BATT'!$B38</f>
        <v>3960</v>
      </c>
      <c r="Q85" s="81">
        <f t="shared" si="42"/>
        <v>37620</v>
      </c>
      <c r="R85" s="28"/>
      <c r="S85" s="28"/>
      <c r="T85" s="83">
        <f>(G62*'Conversion factors BATT'!$B83+(1-G62)*'Conversion factors BATT'!$B104)*G85</f>
        <v>29432.432432432433</v>
      </c>
      <c r="U85" s="83">
        <f>(H62*'Conversion factors BATT'!$B83+(1-H62)*'Conversion factors BATT'!$B104)*H85</f>
        <v>58864.864864864867</v>
      </c>
      <c r="V85" s="83">
        <f>(I62*'Conversion factors BATT'!$B83+(1-I62)*'Conversion factors BATT'!$B104)*I85</f>
        <v>58864.864864864867</v>
      </c>
      <c r="W85" s="83">
        <f>(J62*'Conversion factors BATT'!$B83+(1-J62)*'Conversion factors BATT'!$B104)*J85</f>
        <v>58864.864864864867</v>
      </c>
      <c r="X85" s="83">
        <f>(K62*'Conversion factors BATT'!$B83+(1-K62)*'Conversion factors BATT'!$B104)*K85</f>
        <v>57186.252972972972</v>
      </c>
      <c r="Y85" s="83">
        <f>(L62*'Conversion factors BATT'!$B83+(1-L62)*'Conversion factors BATT'!$B104)*L85</f>
        <v>57186.252972972972</v>
      </c>
      <c r="Z85" s="83">
        <f>(M62*'Conversion factors BATT'!$B83+(1-M62)*'Conversion factors BATT'!$B104)*M85</f>
        <v>57186.252972972972</v>
      </c>
      <c r="AA85" s="83">
        <f>(N62*'Conversion factors BATT'!$B83+(1-N62)*'Conversion factors BATT'!$B104)*N85</f>
        <v>57186.252972972972</v>
      </c>
      <c r="AB85" s="83">
        <f>(O62*'Conversion factors BATT'!$B83+(1-O62)*'Conversion factors BATT'!$B104)*O85</f>
        <v>57186.252972972972</v>
      </c>
      <c r="AC85" s="83">
        <f>(P62*'Conversion factors BATT'!$B83+(1-P62)*'Conversion factors BATT'!$B104)*P85</f>
        <v>54668.335135135138</v>
      </c>
      <c r="AD85" s="83">
        <f t="shared" si="41"/>
        <v>546626.62702702708</v>
      </c>
      <c r="AE85" s="28"/>
      <c r="AF85" s="26"/>
      <c r="AG85" s="28"/>
      <c r="AH85" s="28"/>
      <c r="AI85" s="28"/>
      <c r="AJ85" s="28"/>
      <c r="AK85" s="26"/>
    </row>
    <row r="86" spans="1:37" ht="31" customHeight="1" thickBot="1" x14ac:dyDescent="0.4">
      <c r="A86" s="23" t="s">
        <v>388</v>
      </c>
      <c r="B86" s="23" t="s">
        <v>399</v>
      </c>
      <c r="C86" s="23" t="s">
        <v>144</v>
      </c>
      <c r="D86" s="22" t="s">
        <v>518</v>
      </c>
      <c r="E86" s="23" t="s">
        <v>135</v>
      </c>
      <c r="F86" s="26" t="s">
        <v>107</v>
      </c>
      <c r="G86" s="86">
        <f>G$16*'Conversion factors BATT'!$B39</f>
        <v>1960</v>
      </c>
      <c r="H86" s="86">
        <f>H$16*'Conversion factors BATT'!$B39</f>
        <v>3920</v>
      </c>
      <c r="I86" s="86">
        <f>I$16*'Conversion factors BATT'!$B39</f>
        <v>3920</v>
      </c>
      <c r="J86" s="86">
        <f>J$16*'Conversion factors BATT'!$B39</f>
        <v>3920</v>
      </c>
      <c r="K86" s="86">
        <f>K$16*'Conversion factors BATT'!$B39</f>
        <v>3920</v>
      </c>
      <c r="L86" s="86">
        <f>L$16*'Conversion factors BATT'!$B39</f>
        <v>3920</v>
      </c>
      <c r="M86" s="86">
        <f>M$16*'Conversion factors BATT'!$B39</f>
        <v>3920</v>
      </c>
      <c r="N86" s="86">
        <f>N$16*'Conversion factors BATT'!$B39</f>
        <v>3920</v>
      </c>
      <c r="O86" s="86">
        <f>O$16*'Conversion factors BATT'!$B39</f>
        <v>3920</v>
      </c>
      <c r="P86" s="86">
        <f>P$16*'Conversion factors BATT'!$B39</f>
        <v>3920</v>
      </c>
      <c r="Q86" s="81">
        <f t="shared" si="42"/>
        <v>37240</v>
      </c>
      <c r="R86" s="28"/>
      <c r="S86" s="28"/>
      <c r="T86" s="83">
        <f>(G63*'Conversion factors BATT'!$B84+(1-G63)*'Conversion factors BATT'!$B105)*G86</f>
        <v>30184</v>
      </c>
      <c r="U86" s="83">
        <f>(H63*'Conversion factors BATT'!$B84+(1-H63)*'Conversion factors BATT'!$B105)*H86</f>
        <v>60368</v>
      </c>
      <c r="V86" s="83">
        <f>(I63*'Conversion factors BATT'!$B84+(1-I63)*'Conversion factors BATT'!$B105)*I86</f>
        <v>60368</v>
      </c>
      <c r="W86" s="83">
        <f>(J63*'Conversion factors BATT'!$B84+(1-J63)*'Conversion factors BATT'!$B105)*J86</f>
        <v>60368</v>
      </c>
      <c r="X86" s="83">
        <f>(K63*'Conversion factors BATT'!$B84+(1-K63)*'Conversion factors BATT'!$B105)*K86</f>
        <v>60368</v>
      </c>
      <c r="Y86" s="83">
        <f>(L63*'Conversion factors BATT'!$B84+(1-L63)*'Conversion factors BATT'!$B105)*L86</f>
        <v>60368</v>
      </c>
      <c r="Z86" s="83">
        <f>(M63*'Conversion factors BATT'!$B84+(1-M63)*'Conversion factors BATT'!$B105)*M86</f>
        <v>60368</v>
      </c>
      <c r="AA86" s="83">
        <f>(N63*'Conversion factors BATT'!$B84+(1-N63)*'Conversion factors BATT'!$B105)*N86</f>
        <v>60368</v>
      </c>
      <c r="AB86" s="83">
        <f>(O63*'Conversion factors BATT'!$B84+(1-O63)*'Conversion factors BATT'!$B105)*O86</f>
        <v>60368</v>
      </c>
      <c r="AC86" s="83">
        <f>(P63*'Conversion factors BATT'!$B84+(1-P63)*'Conversion factors BATT'!$B105)*P86</f>
        <v>60368</v>
      </c>
      <c r="AD86" s="83">
        <f t="shared" si="41"/>
        <v>573496</v>
      </c>
      <c r="AE86" s="28"/>
      <c r="AF86" s="26"/>
      <c r="AG86" s="28"/>
      <c r="AH86" s="28"/>
      <c r="AI86" s="28"/>
      <c r="AJ86" s="28"/>
      <c r="AK86" s="26"/>
    </row>
    <row r="87" spans="1:37" ht="31" customHeight="1" thickBot="1" x14ac:dyDescent="0.4">
      <c r="A87" s="23" t="s">
        <v>388</v>
      </c>
      <c r="B87" s="23" t="s">
        <v>400</v>
      </c>
      <c r="C87" s="23" t="s">
        <v>145</v>
      </c>
      <c r="D87" s="22" t="s">
        <v>519</v>
      </c>
      <c r="E87" s="23" t="s">
        <v>135</v>
      </c>
      <c r="F87" s="26" t="s">
        <v>107</v>
      </c>
      <c r="G87" s="86">
        <f>G$16*'Conversion factors BATT'!$B40</f>
        <v>0</v>
      </c>
      <c r="H87" s="86">
        <f>H$16*'Conversion factors BATT'!$B40</f>
        <v>0</v>
      </c>
      <c r="I87" s="86">
        <f>I$16*'Conversion factors BATT'!$B40</f>
        <v>0</v>
      </c>
      <c r="J87" s="86">
        <f>J$16*'Conversion factors BATT'!$B40</f>
        <v>0</v>
      </c>
      <c r="K87" s="86">
        <f>K$16*'Conversion factors BATT'!$B40</f>
        <v>0</v>
      </c>
      <c r="L87" s="86">
        <f>L$16*'Conversion factors BATT'!$B40</f>
        <v>0</v>
      </c>
      <c r="M87" s="86">
        <f>M$16*'Conversion factors BATT'!$B40</f>
        <v>0</v>
      </c>
      <c r="N87" s="86">
        <f>N$16*'Conversion factors BATT'!$B40</f>
        <v>0</v>
      </c>
      <c r="O87" s="86">
        <f>O$16*'Conversion factors BATT'!$B40</f>
        <v>0</v>
      </c>
      <c r="P87" s="86">
        <f>P$16*'Conversion factors BATT'!$B40</f>
        <v>0</v>
      </c>
      <c r="Q87" s="81">
        <f t="shared" si="42"/>
        <v>0</v>
      </c>
      <c r="R87" s="28"/>
      <c r="S87" s="28"/>
      <c r="T87" s="83">
        <f>(G64*'Conversion factors BATT'!$B85+(1-G64)*'Conversion factors BATT'!$B106)*G87</f>
        <v>0</v>
      </c>
      <c r="U87" s="83">
        <f>(H64*'Conversion factors BATT'!$B85+(1-H64)*'Conversion factors BATT'!$B106)*H87</f>
        <v>0</v>
      </c>
      <c r="V87" s="83">
        <f>(I64*'Conversion factors BATT'!$B85+(1-I64)*'Conversion factors BATT'!$B106)*I87</f>
        <v>0</v>
      </c>
      <c r="W87" s="83">
        <f>(J64*'Conversion factors BATT'!$B85+(1-J64)*'Conversion factors BATT'!$B106)*J87</f>
        <v>0</v>
      </c>
      <c r="X87" s="83">
        <f>(K64*'Conversion factors BATT'!$B85+(1-K64)*'Conversion factors BATT'!$B106)*K87</f>
        <v>0</v>
      </c>
      <c r="Y87" s="83">
        <f>(L64*'Conversion factors BATT'!$B85+(1-L64)*'Conversion factors BATT'!$B106)*L87</f>
        <v>0</v>
      </c>
      <c r="Z87" s="83">
        <f>(M64*'Conversion factors BATT'!$B85+(1-M64)*'Conversion factors BATT'!$B106)*M87</f>
        <v>0</v>
      </c>
      <c r="AA87" s="83">
        <f>(N64*'Conversion factors BATT'!$B85+(1-N64)*'Conversion factors BATT'!$B106)*N87</f>
        <v>0</v>
      </c>
      <c r="AB87" s="83">
        <f>(O64*'Conversion factors BATT'!$B85+(1-O64)*'Conversion factors BATT'!$B106)*O87</f>
        <v>0</v>
      </c>
      <c r="AC87" s="83">
        <f>(P64*'Conversion factors BATT'!$B85+(1-P64)*'Conversion factors BATT'!$B106)*P87</f>
        <v>0</v>
      </c>
      <c r="AD87" s="83">
        <f t="shared" si="41"/>
        <v>0</v>
      </c>
      <c r="AE87" s="28"/>
      <c r="AF87" s="26"/>
      <c r="AG87" s="28"/>
      <c r="AH87" s="28"/>
      <c r="AI87" s="28"/>
      <c r="AJ87" s="28"/>
      <c r="AK87" s="26"/>
    </row>
    <row r="88" spans="1:37" ht="31" customHeight="1" thickBot="1" x14ac:dyDescent="0.4">
      <c r="A88" s="23" t="s">
        <v>388</v>
      </c>
      <c r="B88" s="23" t="s">
        <v>586</v>
      </c>
      <c r="C88" s="23" t="s">
        <v>535</v>
      </c>
      <c r="D88" s="22" t="s">
        <v>589</v>
      </c>
      <c r="E88" s="23" t="s">
        <v>135</v>
      </c>
      <c r="F88" s="26" t="s">
        <v>107</v>
      </c>
      <c r="G88" s="86">
        <f>G$16*'Conversion factors BATT'!$B41</f>
        <v>0</v>
      </c>
      <c r="H88" s="86">
        <f>H$16*'Conversion factors BATT'!$B41</f>
        <v>0</v>
      </c>
      <c r="I88" s="86">
        <f>I$16*'Conversion factors BATT'!$B41</f>
        <v>0</v>
      </c>
      <c r="J88" s="86">
        <f>J$16*'Conversion factors BATT'!$B41</f>
        <v>0</v>
      </c>
      <c r="K88" s="86">
        <f>K$16*'Conversion factors BATT'!$B41</f>
        <v>0</v>
      </c>
      <c r="L88" s="86">
        <f>L$16*'Conversion factors BATT'!$B41</f>
        <v>0</v>
      </c>
      <c r="M88" s="86">
        <f>M$16*'Conversion factors BATT'!$B41</f>
        <v>0</v>
      </c>
      <c r="N88" s="86">
        <f>N$16*'Conversion factors BATT'!$B41</f>
        <v>0</v>
      </c>
      <c r="O88" s="86">
        <f>O$16*'Conversion factors BATT'!$B41</f>
        <v>0</v>
      </c>
      <c r="P88" s="86">
        <f>P$16*'Conversion factors BATT'!$B41</f>
        <v>0</v>
      </c>
      <c r="Q88" s="81">
        <f t="shared" ref="Q88" si="43">SUM(G88:P88)</f>
        <v>0</v>
      </c>
      <c r="R88" s="28"/>
      <c r="S88" s="28"/>
      <c r="T88" s="83">
        <f>(G65*'Conversion factors BATT'!$B86+(1-G65)*'Conversion factors BATT'!$B107)*G88</f>
        <v>0</v>
      </c>
      <c r="U88" s="83">
        <f>(H65*'Conversion factors BATT'!$B86+(1-H65)*'Conversion factors BATT'!$B107)*H88</f>
        <v>0</v>
      </c>
      <c r="V88" s="83">
        <f>(I65*'Conversion factors BATT'!$B86+(1-I65)*'Conversion factors BATT'!$B107)*I88</f>
        <v>0</v>
      </c>
      <c r="W88" s="83">
        <f>(J65*'Conversion factors BATT'!$B86+(1-J65)*'Conversion factors BATT'!$B107)*J88</f>
        <v>0</v>
      </c>
      <c r="X88" s="83">
        <f>(K65*'Conversion factors BATT'!$B86+(1-K65)*'Conversion factors BATT'!$B107)*K88</f>
        <v>0</v>
      </c>
      <c r="Y88" s="83">
        <f>(L65*'Conversion factors BATT'!$B86+(1-L65)*'Conversion factors BATT'!$B107)*L88</f>
        <v>0</v>
      </c>
      <c r="Z88" s="83">
        <f>(M65*'Conversion factors BATT'!$B86+(1-M65)*'Conversion factors BATT'!$B107)*M88</f>
        <v>0</v>
      </c>
      <c r="AA88" s="83">
        <f>(N65*'Conversion factors BATT'!$B86+(1-N65)*'Conversion factors BATT'!$B107)*N88</f>
        <v>0</v>
      </c>
      <c r="AB88" s="83">
        <f>(O65*'Conversion factors BATT'!$B86+(1-O65)*'Conversion factors BATT'!$B107)*O88</f>
        <v>0</v>
      </c>
      <c r="AC88" s="83">
        <f>(P65*'Conversion factors BATT'!$B86+(1-P65)*'Conversion factors BATT'!$B107)*P88</f>
        <v>0</v>
      </c>
      <c r="AD88" s="83">
        <f t="shared" ref="AD88" si="44">SUM(T88:AC88)</f>
        <v>0</v>
      </c>
      <c r="AE88" s="28"/>
      <c r="AF88" s="26"/>
      <c r="AG88" s="28"/>
      <c r="AH88" s="28"/>
      <c r="AI88" s="28"/>
      <c r="AJ88" s="28"/>
      <c r="AK88" s="26"/>
    </row>
    <row r="89" spans="1:37" ht="31" customHeight="1" thickBot="1" x14ac:dyDescent="0.4">
      <c r="A89" s="23" t="s">
        <v>388</v>
      </c>
      <c r="B89" s="23" t="s">
        <v>587</v>
      </c>
      <c r="C89" s="23" t="s">
        <v>526</v>
      </c>
      <c r="D89" s="22" t="s">
        <v>590</v>
      </c>
      <c r="E89" s="23" t="s">
        <v>135</v>
      </c>
      <c r="F89" s="26" t="s">
        <v>107</v>
      </c>
      <c r="G89" s="86">
        <f>G$16*'Conversion factors BATT'!$B42</f>
        <v>0</v>
      </c>
      <c r="H89" s="86">
        <f>H$16*'Conversion factors BATT'!$B42</f>
        <v>0</v>
      </c>
      <c r="I89" s="86">
        <f>I$16*'Conversion factors BATT'!$B42</f>
        <v>0</v>
      </c>
      <c r="J89" s="86">
        <f>J$16*'Conversion factors BATT'!$B42</f>
        <v>0</v>
      </c>
      <c r="K89" s="86">
        <f>K$16*'Conversion factors BATT'!$B42</f>
        <v>0</v>
      </c>
      <c r="L89" s="86">
        <f>L$16*'Conversion factors BATT'!$B42</f>
        <v>0</v>
      </c>
      <c r="M89" s="86">
        <f>M$16*'Conversion factors BATT'!$B42</f>
        <v>0</v>
      </c>
      <c r="N89" s="86">
        <f>N$16*'Conversion factors BATT'!$B42</f>
        <v>0</v>
      </c>
      <c r="O89" s="86">
        <f>O$16*'Conversion factors BATT'!$B42</f>
        <v>0</v>
      </c>
      <c r="P89" s="86">
        <f>P$16*'Conversion factors BATT'!$B42</f>
        <v>0</v>
      </c>
      <c r="Q89" s="81">
        <f t="shared" si="42"/>
        <v>0</v>
      </c>
      <c r="R89" s="28"/>
      <c r="S89" s="28"/>
      <c r="T89" s="83">
        <f>(G66*'Conversion factors BATT'!$B87+(1-G66)*'Conversion factors BATT'!$B108)*G89</f>
        <v>0</v>
      </c>
      <c r="U89" s="83">
        <f>(H66*'Conversion factors BATT'!$B87+(1-H66)*'Conversion factors BATT'!$B108)*H89</f>
        <v>0</v>
      </c>
      <c r="V89" s="83">
        <f>(I66*'Conversion factors BATT'!$B87+(1-I66)*'Conversion factors BATT'!$B108)*I89</f>
        <v>0</v>
      </c>
      <c r="W89" s="83">
        <f>(J66*'Conversion factors BATT'!$B87+(1-J66)*'Conversion factors BATT'!$B108)*J89</f>
        <v>0</v>
      </c>
      <c r="X89" s="83">
        <f>(K66*'Conversion factors BATT'!$B87+(1-K66)*'Conversion factors BATT'!$B108)*K89</f>
        <v>0</v>
      </c>
      <c r="Y89" s="83">
        <f>(L66*'Conversion factors BATT'!$B87+(1-L66)*'Conversion factors BATT'!$B108)*L89</f>
        <v>0</v>
      </c>
      <c r="Z89" s="83">
        <f>(M66*'Conversion factors BATT'!$B87+(1-M66)*'Conversion factors BATT'!$B108)*M89</f>
        <v>0</v>
      </c>
      <c r="AA89" s="83">
        <f>(N66*'Conversion factors BATT'!$B87+(1-N66)*'Conversion factors BATT'!$B108)*N89</f>
        <v>0</v>
      </c>
      <c r="AB89" s="83">
        <f>(O66*'Conversion factors BATT'!$B87+(1-O66)*'Conversion factors BATT'!$B108)*O89</f>
        <v>0</v>
      </c>
      <c r="AC89" s="83">
        <f>(P66*'Conversion factors BATT'!$B87+(1-P66)*'Conversion factors BATT'!$B108)*P89</f>
        <v>0</v>
      </c>
      <c r="AD89" s="83">
        <f t="shared" si="41"/>
        <v>0</v>
      </c>
      <c r="AE89" s="28"/>
      <c r="AF89" s="26"/>
      <c r="AG89" s="28"/>
      <c r="AH89" s="28"/>
      <c r="AI89" s="28"/>
      <c r="AJ89" s="28"/>
      <c r="AK89" s="26"/>
    </row>
    <row r="90" spans="1:37" ht="31" customHeight="1" thickBot="1" x14ac:dyDescent="0.4">
      <c r="A90" s="23" t="s">
        <v>388</v>
      </c>
      <c r="B90" s="23" t="s">
        <v>585</v>
      </c>
      <c r="C90" s="23" t="s">
        <v>529</v>
      </c>
      <c r="D90" s="22" t="s">
        <v>591</v>
      </c>
      <c r="E90" s="23" t="s">
        <v>135</v>
      </c>
      <c r="F90" s="26" t="s">
        <v>107</v>
      </c>
      <c r="G90" s="86">
        <f>G$16*'Conversion factors BATT'!$B43</f>
        <v>0</v>
      </c>
      <c r="H90" s="86">
        <f>H$16*'Conversion factors BATT'!$B43</f>
        <v>0</v>
      </c>
      <c r="I90" s="86">
        <f>I$16*'Conversion factors BATT'!$B43</f>
        <v>0</v>
      </c>
      <c r="J90" s="86">
        <f>J$16*'Conversion factors BATT'!$B43</f>
        <v>0</v>
      </c>
      <c r="K90" s="86">
        <f>K$16*'Conversion factors BATT'!$B43</f>
        <v>0</v>
      </c>
      <c r="L90" s="86">
        <f>L$16*'Conversion factors BATT'!$B43</f>
        <v>0</v>
      </c>
      <c r="M90" s="86">
        <f>M$16*'Conversion factors BATT'!$B43</f>
        <v>0</v>
      </c>
      <c r="N90" s="86">
        <f>N$16*'Conversion factors BATT'!$B43</f>
        <v>0</v>
      </c>
      <c r="O90" s="86">
        <f>O$16*'Conversion factors BATT'!$B43</f>
        <v>0</v>
      </c>
      <c r="P90" s="86">
        <f>P$16*'Conversion factors BATT'!$B43</f>
        <v>0</v>
      </c>
      <c r="Q90" s="81">
        <f t="shared" ref="Q90" si="45">SUM(G90:P90)</f>
        <v>0</v>
      </c>
      <c r="R90" s="28"/>
      <c r="S90" s="28"/>
      <c r="T90" s="83">
        <f>(G67*'Conversion factors BATT'!$B88+(1-G67)*'Conversion factors BATT'!$B109)*G90</f>
        <v>0</v>
      </c>
      <c r="U90" s="83">
        <f>(H67*'Conversion factors BATT'!$B88+(1-H67)*'Conversion factors BATT'!$B109)*H90</f>
        <v>0</v>
      </c>
      <c r="V90" s="83">
        <f>(I67*'Conversion factors BATT'!$B88+(1-I67)*'Conversion factors BATT'!$B109)*I90</f>
        <v>0</v>
      </c>
      <c r="W90" s="83">
        <f>(J67*'Conversion factors BATT'!$B88+(1-J67)*'Conversion factors BATT'!$B109)*J90</f>
        <v>0</v>
      </c>
      <c r="X90" s="83">
        <f>(K67*'Conversion factors BATT'!$B88+(1-K67)*'Conversion factors BATT'!$B109)*K90</f>
        <v>0</v>
      </c>
      <c r="Y90" s="83">
        <f>(L67*'Conversion factors BATT'!$B88+(1-L67)*'Conversion factors BATT'!$B109)*L90</f>
        <v>0</v>
      </c>
      <c r="Z90" s="83">
        <f>(M67*'Conversion factors BATT'!$B88+(1-M67)*'Conversion factors BATT'!$B109)*M90</f>
        <v>0</v>
      </c>
      <c r="AA90" s="83">
        <f>(N67*'Conversion factors BATT'!$B88+(1-N67)*'Conversion factors BATT'!$B109)*N90</f>
        <v>0</v>
      </c>
      <c r="AB90" s="83">
        <f>(O67*'Conversion factors BATT'!$B88+(1-O67)*'Conversion factors BATT'!$B109)*O90</f>
        <v>0</v>
      </c>
      <c r="AC90" s="83">
        <f>(P67*'Conversion factors BATT'!$B88+(1-P67)*'Conversion factors BATT'!$B109)*P90</f>
        <v>0</v>
      </c>
      <c r="AD90" s="83">
        <f t="shared" ref="AD90" si="46">SUM(T90:AC90)</f>
        <v>0</v>
      </c>
      <c r="AE90" s="28"/>
      <c r="AF90" s="26"/>
      <c r="AG90" s="28"/>
      <c r="AH90" s="28"/>
      <c r="AI90" s="28"/>
      <c r="AJ90" s="28"/>
      <c r="AK90" s="26"/>
    </row>
    <row r="91" spans="1:37" ht="31" customHeight="1" thickBot="1" x14ac:dyDescent="0.4">
      <c r="A91" s="23" t="s">
        <v>388</v>
      </c>
      <c r="B91" s="23" t="s">
        <v>625</v>
      </c>
      <c r="C91" s="23" t="s">
        <v>618</v>
      </c>
      <c r="D91" s="22" t="s">
        <v>627</v>
      </c>
      <c r="E91" s="23" t="s">
        <v>135</v>
      </c>
      <c r="F91" s="26" t="s">
        <v>107</v>
      </c>
      <c r="G91" s="86">
        <f>G$16*'Conversion factors BATT'!$B44</f>
        <v>0</v>
      </c>
      <c r="H91" s="86">
        <f>H$16*'Conversion factors BATT'!$B44</f>
        <v>0</v>
      </c>
      <c r="I91" s="86">
        <f>I$16*'Conversion factors BATT'!$B44</f>
        <v>0</v>
      </c>
      <c r="J91" s="86">
        <f>J$16*'Conversion factors BATT'!$B44</f>
        <v>0</v>
      </c>
      <c r="K91" s="86">
        <f>K$16*'Conversion factors BATT'!$B44</f>
        <v>0</v>
      </c>
      <c r="L91" s="86">
        <f>L$16*'Conversion factors BATT'!$B44</f>
        <v>0</v>
      </c>
      <c r="M91" s="86">
        <f>M$16*'Conversion factors BATT'!$B44</f>
        <v>0</v>
      </c>
      <c r="N91" s="86">
        <f>N$16*'Conversion factors BATT'!$B44</f>
        <v>0</v>
      </c>
      <c r="O91" s="86">
        <f>O$16*'Conversion factors BATT'!$B44</f>
        <v>0</v>
      </c>
      <c r="P91" s="86">
        <f>P$16*'Conversion factors BATT'!$B44</f>
        <v>0</v>
      </c>
      <c r="Q91" s="81">
        <f t="shared" ref="Q91" si="47">SUM(G91:P91)</f>
        <v>0</v>
      </c>
      <c r="R91" s="28"/>
      <c r="S91" s="28"/>
      <c r="T91" s="83">
        <f>(G68*'Conversion factors BATT'!$B89+(1-G68)*'Conversion factors BATT'!$B110)*G91</f>
        <v>0</v>
      </c>
      <c r="U91" s="83">
        <f>(H68*'Conversion factors BATT'!$B89+(1-H68)*'Conversion factors BATT'!$B110)*H91</f>
        <v>0</v>
      </c>
      <c r="V91" s="83">
        <f>(I68*'Conversion factors BATT'!$B89+(1-I68)*'Conversion factors BATT'!$B110)*I91</f>
        <v>0</v>
      </c>
      <c r="W91" s="83">
        <f>(J68*'Conversion factors BATT'!$B89+(1-J68)*'Conversion factors BATT'!$B110)*J91</f>
        <v>0</v>
      </c>
      <c r="X91" s="83">
        <f>(K68*'Conversion factors BATT'!$B89+(1-K68)*'Conversion factors BATT'!$B110)*K91</f>
        <v>0</v>
      </c>
      <c r="Y91" s="83">
        <f>(L68*'Conversion factors BATT'!$B89+(1-L68)*'Conversion factors BATT'!$B110)*L91</f>
        <v>0</v>
      </c>
      <c r="Z91" s="83">
        <f>(M68*'Conversion factors BATT'!$B89+(1-M68)*'Conversion factors BATT'!$B110)*M91</f>
        <v>0</v>
      </c>
      <c r="AA91" s="83">
        <f>(N68*'Conversion factors BATT'!$B89+(1-N68)*'Conversion factors BATT'!$B110)*N91</f>
        <v>0</v>
      </c>
      <c r="AB91" s="83">
        <f>(O68*'Conversion factors BATT'!$B89+(1-O68)*'Conversion factors BATT'!$B110)*O91</f>
        <v>0</v>
      </c>
      <c r="AC91" s="83">
        <f>(P68*'Conversion factors BATT'!$B89+(1-P68)*'Conversion factors BATT'!$B110)*P91</f>
        <v>0</v>
      </c>
      <c r="AD91" s="83">
        <f t="shared" ref="AD91" si="48">SUM(T91:AC91)</f>
        <v>0</v>
      </c>
      <c r="AE91" s="28"/>
      <c r="AF91" s="26"/>
      <c r="AG91" s="28"/>
      <c r="AH91" s="28"/>
      <c r="AI91" s="28"/>
      <c r="AJ91" s="28"/>
      <c r="AK91" s="26"/>
    </row>
    <row r="92" spans="1:37" ht="41.25" customHeight="1" thickBot="1" x14ac:dyDescent="0.4">
      <c r="A92" s="23" t="s">
        <v>388</v>
      </c>
      <c r="B92" s="23" t="s">
        <v>595</v>
      </c>
      <c r="C92" s="23" t="s">
        <v>538</v>
      </c>
      <c r="D92" s="22" t="s">
        <v>594</v>
      </c>
      <c r="E92" s="23" t="s">
        <v>135</v>
      </c>
      <c r="F92" s="26" t="s">
        <v>107</v>
      </c>
      <c r="G92" s="86">
        <f>G$16*'Conversion factors BATT'!$B45</f>
        <v>4120</v>
      </c>
      <c r="H92" s="86">
        <f>H$16*'Conversion factors BATT'!$B45</f>
        <v>8240</v>
      </c>
      <c r="I92" s="86">
        <f>I$16*'Conversion factors BATT'!$B45</f>
        <v>8240</v>
      </c>
      <c r="J92" s="86">
        <f>J$16*'Conversion factors BATT'!$B45</f>
        <v>8240</v>
      </c>
      <c r="K92" s="86">
        <f>K$16*'Conversion factors BATT'!$B45</f>
        <v>8240</v>
      </c>
      <c r="L92" s="86">
        <f>L$16*'Conversion factors BATT'!$B45</f>
        <v>8240</v>
      </c>
      <c r="M92" s="86">
        <f>M$16*'Conversion factors BATT'!$B45</f>
        <v>8240</v>
      </c>
      <c r="N92" s="86">
        <f>N$16*'Conversion factors BATT'!$B45</f>
        <v>8240</v>
      </c>
      <c r="O92" s="86">
        <f>O$16*'Conversion factors BATT'!$B45</f>
        <v>8240</v>
      </c>
      <c r="P92" s="86">
        <f>P$16*'Conversion factors BATT'!$B45</f>
        <v>8240</v>
      </c>
      <c r="Q92" s="81">
        <f t="shared" si="42"/>
        <v>78280</v>
      </c>
      <c r="R92" s="28"/>
      <c r="S92" s="28"/>
      <c r="T92" s="83">
        <f>(G69*'Conversion factors BATT'!$B90+(1-G69)*'Conversion factors BATT'!$B111)*G92</f>
        <v>20188</v>
      </c>
      <c r="U92" s="83">
        <f>(H69*'Conversion factors BATT'!$B90+(1-H69)*'Conversion factors BATT'!$B111)*H92</f>
        <v>40376</v>
      </c>
      <c r="V92" s="83">
        <f>(I69*'Conversion factors BATT'!$B90+(1-I69)*'Conversion factors BATT'!$B111)*I92</f>
        <v>40376</v>
      </c>
      <c r="W92" s="83">
        <f>(J69*'Conversion factors BATT'!$B90+(1-J69)*'Conversion factors BATT'!$B111)*J92</f>
        <v>40376</v>
      </c>
      <c r="X92" s="83">
        <f>(K69*'Conversion factors BATT'!$B90+(1-K69)*'Conversion factors BATT'!$B111)*K92</f>
        <v>40376</v>
      </c>
      <c r="Y92" s="83">
        <f>(L69*'Conversion factors BATT'!$B90+(1-L69)*'Conversion factors BATT'!$B111)*L92</f>
        <v>40376</v>
      </c>
      <c r="Z92" s="83">
        <f>(M69*'Conversion factors BATT'!$B90+(1-M69)*'Conversion factors BATT'!$B111)*M92</f>
        <v>40376</v>
      </c>
      <c r="AA92" s="83">
        <f>(N69*'Conversion factors BATT'!$B90+(1-N69)*'Conversion factors BATT'!$B111)*N92</f>
        <v>40376</v>
      </c>
      <c r="AB92" s="83">
        <f>(O69*'Conversion factors BATT'!$B90+(1-O69)*'Conversion factors BATT'!$B111)*O92</f>
        <v>40376</v>
      </c>
      <c r="AC92" s="83">
        <f>(P69*'Conversion factors BATT'!$B90+(1-P69)*'Conversion factors BATT'!$B111)*P92</f>
        <v>40376</v>
      </c>
      <c r="AD92" s="83">
        <f t="shared" si="41"/>
        <v>383572</v>
      </c>
      <c r="AE92" s="28"/>
      <c r="AF92" s="26"/>
      <c r="AG92" s="28"/>
      <c r="AH92" s="28"/>
      <c r="AI92" s="28"/>
      <c r="AJ92" s="28"/>
      <c r="AK92" s="26"/>
    </row>
    <row r="93" spans="1:37" ht="42.65" customHeight="1" thickBot="1" x14ac:dyDescent="0.4">
      <c r="A93" s="109"/>
      <c r="B93" s="109"/>
      <c r="C93" s="110"/>
      <c r="D93" s="111" t="s">
        <v>159</v>
      </c>
      <c r="E93" s="110" t="s">
        <v>158</v>
      </c>
      <c r="F93" s="79"/>
      <c r="G93" s="79"/>
      <c r="H93" s="79"/>
      <c r="I93" s="79"/>
      <c r="J93" s="79"/>
      <c r="K93" s="79"/>
      <c r="L93" s="79"/>
      <c r="M93" s="79"/>
      <c r="N93" s="79"/>
      <c r="O93" s="79"/>
      <c r="P93" s="79"/>
      <c r="Q93" s="79"/>
      <c r="R93" s="79"/>
      <c r="S93" s="79"/>
      <c r="T93" s="83">
        <f t="shared" ref="T93:AC93" si="49">SUM(T72:T92)</f>
        <v>141215.41937980085</v>
      </c>
      <c r="U93" s="83">
        <f t="shared" si="49"/>
        <v>282430.8387596017</v>
      </c>
      <c r="V93" s="83">
        <f t="shared" si="49"/>
        <v>282430.8387596017</v>
      </c>
      <c r="W93" s="83">
        <f t="shared" si="49"/>
        <v>282430.8387596017</v>
      </c>
      <c r="X93" s="83">
        <f t="shared" si="49"/>
        <v>277603.98560455191</v>
      </c>
      <c r="Y93" s="83">
        <f t="shared" si="49"/>
        <v>277603.98560455191</v>
      </c>
      <c r="Z93" s="83">
        <f t="shared" si="49"/>
        <v>277603.98560455191</v>
      </c>
      <c r="AA93" s="83">
        <f t="shared" si="49"/>
        <v>277603.98560455191</v>
      </c>
      <c r="AB93" s="83">
        <f t="shared" si="49"/>
        <v>277603.98560455191</v>
      </c>
      <c r="AC93" s="83">
        <f t="shared" si="49"/>
        <v>272784.11197724042</v>
      </c>
      <c r="AD93" s="83">
        <f t="shared" ref="AD93" si="50">SUM(T93:AC93)</f>
        <v>2649311.9756586063</v>
      </c>
      <c r="AE93" s="28"/>
      <c r="AF93" s="26"/>
      <c r="AG93" s="28"/>
      <c r="AH93" s="28"/>
      <c r="AI93" s="28"/>
      <c r="AJ93" s="28"/>
      <c r="AK93" s="26"/>
    </row>
  </sheetData>
  <mergeCells count="4">
    <mergeCell ref="A3:R4"/>
    <mergeCell ref="AE3:AK3"/>
    <mergeCell ref="AE4:AK4"/>
    <mergeCell ref="S3:AD4"/>
  </mergeCells>
  <dataValidations count="5">
    <dataValidation type="list" allowBlank="1" showInputMessage="1" showErrorMessage="1" sqref="F70 F10:F11 F13 F16 F39:F47 F72:F93 F8 F19:F29" xr:uid="{00000000-0002-0000-0300-000002000000}">
      <formula1>"MWh,kWh,TJ,GJ,MJ,cubic meter,ton,kg,litres"</formula1>
    </dataValidation>
    <dataValidation type="list" allowBlank="1" showInputMessage="1" showErrorMessage="1" sqref="AK39:AK47 AM13 AK13 AK10:AK11 AM10 AK16 AK19:AK36 AM8 AM49:AM69 AK49:AK70 AM72:AM92 AK8 AK72:AK93" xr:uid="{00000000-0002-0000-0300-000003000000}">
      <formula1>"Primary Data,Third Party Data,Secondary Data - Calculated based on actual data,Secondary Data - Based on assumptions,Secondary Data - Extrapolation,Other evidence"</formula1>
    </dataValidation>
    <dataValidation type="list" allowBlank="1" showInputMessage="1" showErrorMessage="1" sqref="AI17 AF39:AF47 AI7:AI10 AI14 AF10:AF11 AF13 AF16 AF19:AF36 AF49:AF70 AF8 AF72:AF93" xr:uid="{00000000-0002-0000-0300-000004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F49:F69" xr:uid="{00000000-0002-0000-0300-000001000000}">
      <formula1>"MWh,kWh,TJ,GJ,MJ,cubic meter,ton,kg,litres,%"</formula1>
    </dataValidation>
    <dataValidation type="list" allowBlank="1" showInputMessage="1" showErrorMessage="1" sqref="F30:F36" xr:uid="{60B59F3C-C49A-45EB-8F01-ACEEE69B3F74}">
      <formula1>"MWh,kWh,TJ,GJ,MJ,cubic meter,ton,kg,litres,kg / kWh"</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25"/>
  <sheetViews>
    <sheetView zoomScale="85" zoomScaleNormal="85" workbookViewId="0">
      <pane ySplit="5" topLeftCell="A6" activePane="bottomLeft" state="frozen"/>
      <selection pane="bottomLeft" activeCell="I124" sqref="I124"/>
    </sheetView>
  </sheetViews>
  <sheetFormatPr defaultColWidth="9.26953125" defaultRowHeight="12.5" x14ac:dyDescent="0.35"/>
  <cols>
    <col min="1" max="1" width="13.81640625" style="25" bestFit="1" customWidth="1"/>
    <col min="2" max="2" width="14.453125" style="25" bestFit="1" customWidth="1"/>
    <col min="3" max="3" width="11.7265625" style="25" customWidth="1"/>
    <col min="4" max="4" width="34.26953125" style="25" customWidth="1"/>
    <col min="5" max="5" width="12.26953125" style="25" bestFit="1" customWidth="1"/>
    <col min="6" max="6" width="7.54296875" style="25" customWidth="1"/>
    <col min="7" max="17" width="10.81640625" style="25" customWidth="1"/>
    <col min="18" max="18" width="41.54296875" style="25" customWidth="1"/>
    <col min="19" max="19" width="10.453125" style="25" customWidth="1"/>
    <col min="20" max="30" width="17.81640625" style="25" customWidth="1"/>
    <col min="31" max="31" width="8.54296875" style="25" customWidth="1"/>
    <col min="32" max="36" width="12.54296875" style="25" customWidth="1"/>
    <col min="37" max="37" width="13.7265625" style="25" customWidth="1"/>
    <col min="38" max="38" width="12.54296875" style="25" customWidth="1"/>
    <col min="39" max="16384" width="9.26953125" style="25"/>
  </cols>
  <sheetData>
    <row r="1" spans="1:38" ht="14" x14ac:dyDescent="0.35">
      <c r="A1" s="158" t="s">
        <v>789</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spans="1:38" ht="13" thickBot="1" x14ac:dyDescent="0.4">
      <c r="AL2" s="31"/>
    </row>
    <row r="3" spans="1:38" s="31" customFormat="1" ht="18" customHeight="1" x14ac:dyDescent="0.35">
      <c r="A3" s="194" t="s">
        <v>64</v>
      </c>
      <c r="B3" s="195"/>
      <c r="C3" s="195"/>
      <c r="D3" s="195"/>
      <c r="E3" s="195"/>
      <c r="F3" s="195"/>
      <c r="G3" s="195"/>
      <c r="H3" s="195"/>
      <c r="I3" s="195"/>
      <c r="J3" s="195"/>
      <c r="K3" s="195"/>
      <c r="L3" s="195"/>
      <c r="M3" s="195"/>
      <c r="N3" s="195"/>
      <c r="O3" s="195"/>
      <c r="P3" s="195"/>
      <c r="Q3" s="195"/>
      <c r="R3" s="196"/>
      <c r="S3" s="186" t="s">
        <v>35</v>
      </c>
      <c r="T3" s="187"/>
      <c r="U3" s="187"/>
      <c r="V3" s="187"/>
      <c r="W3" s="187"/>
      <c r="X3" s="187"/>
      <c r="Y3" s="187"/>
      <c r="Z3" s="187"/>
      <c r="AA3" s="187"/>
      <c r="AB3" s="187"/>
      <c r="AC3" s="187"/>
      <c r="AD3" s="188"/>
      <c r="AE3" s="178" t="s">
        <v>32</v>
      </c>
      <c r="AF3" s="179"/>
      <c r="AG3" s="179"/>
      <c r="AH3" s="179"/>
      <c r="AI3" s="179"/>
      <c r="AJ3" s="179"/>
      <c r="AK3" s="179"/>
    </row>
    <row r="4" spans="1:38" s="31" customFormat="1" ht="46" customHeight="1" thickBot="1" x14ac:dyDescent="0.4">
      <c r="A4" s="197"/>
      <c r="B4" s="198"/>
      <c r="C4" s="198"/>
      <c r="D4" s="198"/>
      <c r="E4" s="198"/>
      <c r="F4" s="198"/>
      <c r="G4" s="198"/>
      <c r="H4" s="198"/>
      <c r="I4" s="198"/>
      <c r="J4" s="198"/>
      <c r="K4" s="198"/>
      <c r="L4" s="198"/>
      <c r="M4" s="198"/>
      <c r="N4" s="198"/>
      <c r="O4" s="198"/>
      <c r="P4" s="198"/>
      <c r="Q4" s="198"/>
      <c r="R4" s="199"/>
      <c r="S4" s="189"/>
      <c r="T4" s="190"/>
      <c r="U4" s="190"/>
      <c r="V4" s="190"/>
      <c r="W4" s="190"/>
      <c r="X4" s="190"/>
      <c r="Y4" s="190"/>
      <c r="Z4" s="190"/>
      <c r="AA4" s="190"/>
      <c r="AB4" s="190"/>
      <c r="AC4" s="190"/>
      <c r="AD4" s="191"/>
      <c r="AE4" s="192" t="s">
        <v>111</v>
      </c>
      <c r="AF4" s="193"/>
      <c r="AG4" s="193"/>
      <c r="AH4" s="193"/>
      <c r="AI4" s="193"/>
      <c r="AJ4" s="193"/>
      <c r="AK4" s="193"/>
    </row>
    <row r="5" spans="1:38" s="31" customFormat="1" ht="56.15" customHeight="1" thickBot="1" x14ac:dyDescent="0.4">
      <c r="A5" s="32" t="s">
        <v>0</v>
      </c>
      <c r="B5" s="32" t="s">
        <v>58</v>
      </c>
      <c r="C5" s="32" t="s">
        <v>57</v>
      </c>
      <c r="D5" s="32" t="s">
        <v>5</v>
      </c>
      <c r="E5" s="32" t="s">
        <v>277</v>
      </c>
      <c r="F5" s="32" t="s">
        <v>19</v>
      </c>
      <c r="G5" s="32" t="s">
        <v>20</v>
      </c>
      <c r="H5" s="32" t="s">
        <v>21</v>
      </c>
      <c r="I5" s="32" t="s">
        <v>22</v>
      </c>
      <c r="J5" s="32" t="s">
        <v>23</v>
      </c>
      <c r="K5" s="32" t="s">
        <v>24</v>
      </c>
      <c r="L5" s="32" t="s">
        <v>25</v>
      </c>
      <c r="M5" s="32" t="s">
        <v>26</v>
      </c>
      <c r="N5" s="32" t="s">
        <v>27</v>
      </c>
      <c r="O5" s="32" t="s">
        <v>28</v>
      </c>
      <c r="P5" s="32" t="s">
        <v>29</v>
      </c>
      <c r="Q5" s="32" t="s">
        <v>116</v>
      </c>
      <c r="R5" s="32" t="s">
        <v>30</v>
      </c>
      <c r="S5" s="32" t="s">
        <v>56</v>
      </c>
      <c r="T5" s="11" t="s">
        <v>117</v>
      </c>
      <c r="U5" s="11" t="s">
        <v>118</v>
      </c>
      <c r="V5" s="11" t="s">
        <v>119</v>
      </c>
      <c r="W5" s="11" t="s">
        <v>120</v>
      </c>
      <c r="X5" s="11" t="s">
        <v>121</v>
      </c>
      <c r="Y5" s="11" t="s">
        <v>122</v>
      </c>
      <c r="Z5" s="11" t="s">
        <v>123</v>
      </c>
      <c r="AA5" s="11" t="s">
        <v>124</v>
      </c>
      <c r="AB5" s="11" t="s">
        <v>125</v>
      </c>
      <c r="AC5" s="11" t="s">
        <v>126</v>
      </c>
      <c r="AD5" s="11" t="s">
        <v>31</v>
      </c>
      <c r="AE5" s="11" t="s">
        <v>112</v>
      </c>
      <c r="AF5" s="11" t="s">
        <v>34</v>
      </c>
      <c r="AG5" s="11" t="s">
        <v>99</v>
      </c>
      <c r="AH5" s="11" t="s">
        <v>74</v>
      </c>
      <c r="AI5" s="11" t="s">
        <v>75</v>
      </c>
      <c r="AJ5" s="11" t="s">
        <v>100</v>
      </c>
      <c r="AK5" s="11" t="s">
        <v>44</v>
      </c>
    </row>
    <row r="6" spans="1:38" ht="24.65" customHeight="1" thickBot="1" x14ac:dyDescent="0.4">
      <c r="A6" s="98" t="s">
        <v>773</v>
      </c>
      <c r="B6" s="99"/>
      <c r="C6" s="99"/>
      <c r="D6" s="99"/>
      <c r="E6" s="99"/>
      <c r="F6" s="99"/>
      <c r="G6" s="99"/>
      <c r="H6" s="99"/>
      <c r="I6" s="99"/>
      <c r="J6" s="99"/>
      <c r="K6" s="99"/>
      <c r="L6" s="99"/>
      <c r="M6" s="99"/>
      <c r="N6" s="99"/>
      <c r="O6" s="99"/>
      <c r="P6" s="99"/>
      <c r="Q6" s="99"/>
      <c r="R6" s="99"/>
      <c r="S6" s="100"/>
      <c r="T6" s="101"/>
      <c r="U6" s="101"/>
      <c r="V6" s="101"/>
      <c r="W6" s="101"/>
      <c r="X6" s="101"/>
      <c r="Y6" s="101"/>
      <c r="Z6" s="101"/>
      <c r="AA6" s="101"/>
      <c r="AB6" s="101"/>
      <c r="AC6" s="101"/>
      <c r="AD6" s="102"/>
      <c r="AE6" s="102"/>
      <c r="AF6" s="102"/>
      <c r="AG6" s="99"/>
      <c r="AH6" s="99"/>
      <c r="AI6" s="102"/>
      <c r="AJ6" s="99"/>
      <c r="AK6" s="99"/>
    </row>
    <row r="7" spans="1:38" ht="38.5" customHeight="1" thickBot="1" x14ac:dyDescent="0.3">
      <c r="A7" s="67" t="s">
        <v>370</v>
      </c>
      <c r="B7" s="79"/>
      <c r="C7" s="79"/>
      <c r="D7" s="79"/>
      <c r="E7" s="79"/>
      <c r="F7" s="79"/>
      <c r="G7" s="79"/>
      <c r="H7" s="79"/>
      <c r="I7" s="79"/>
      <c r="J7" s="79"/>
      <c r="K7" s="79"/>
      <c r="L7" s="79"/>
      <c r="M7" s="79"/>
      <c r="N7" s="79"/>
      <c r="O7" s="79"/>
      <c r="P7" s="79"/>
      <c r="Q7" s="79"/>
      <c r="R7" s="79"/>
      <c r="S7" s="85"/>
      <c r="T7" s="82">
        <f t="shared" ref="T7:AC7" si="0">T34+T78+T125+T10+T13+T16</f>
        <v>315485.2496466384</v>
      </c>
      <c r="U7" s="82">
        <f t="shared" si="0"/>
        <v>593691.77929327672</v>
      </c>
      <c r="V7" s="82">
        <f t="shared" si="0"/>
        <v>593691.77929327672</v>
      </c>
      <c r="W7" s="82">
        <f t="shared" si="0"/>
        <v>576123.77929327672</v>
      </c>
      <c r="X7" s="82">
        <f t="shared" si="0"/>
        <v>575402.16801655677</v>
      </c>
      <c r="Y7" s="82">
        <f t="shared" si="0"/>
        <v>575402.16801655677</v>
      </c>
      <c r="Z7" s="82">
        <f t="shared" si="0"/>
        <v>575402.16801655677</v>
      </c>
      <c r="AA7" s="82">
        <f t="shared" si="0"/>
        <v>575402.16801655677</v>
      </c>
      <c r="AB7" s="82">
        <f t="shared" si="0"/>
        <v>575402.16801655677</v>
      </c>
      <c r="AC7" s="82">
        <f t="shared" si="0"/>
        <v>574680.5567398367</v>
      </c>
      <c r="AD7" s="82">
        <f>SUM(T7:AC7)</f>
        <v>5530683.9843490887</v>
      </c>
      <c r="AE7" s="68"/>
      <c r="AF7" s="68"/>
      <c r="AG7" s="69"/>
      <c r="AH7" s="68"/>
      <c r="AI7" s="68"/>
      <c r="AJ7" s="68"/>
      <c r="AK7" s="68"/>
    </row>
    <row r="8" spans="1:38" ht="13" thickBot="1" x14ac:dyDescent="0.4"/>
    <row r="9" spans="1:38" ht="26.15" customHeight="1" thickBot="1" x14ac:dyDescent="0.4">
      <c r="A9" s="137" t="s">
        <v>658</v>
      </c>
      <c r="B9" s="138"/>
      <c r="C9" s="138"/>
      <c r="D9" s="138"/>
      <c r="E9" s="138"/>
      <c r="F9" s="138"/>
      <c r="G9" s="138"/>
      <c r="H9" s="138"/>
      <c r="I9" s="138"/>
      <c r="J9" s="138"/>
      <c r="K9" s="138"/>
      <c r="L9" s="138"/>
      <c r="M9" s="138"/>
      <c r="N9" s="138"/>
      <c r="O9" s="138"/>
      <c r="P9" s="138"/>
      <c r="Q9" s="138"/>
      <c r="R9" s="138"/>
      <c r="S9" s="141"/>
      <c r="T9" s="142"/>
      <c r="U9" s="142"/>
      <c r="V9" s="142"/>
      <c r="W9" s="142"/>
      <c r="X9" s="142"/>
      <c r="Y9" s="142"/>
      <c r="Z9" s="142"/>
      <c r="AA9" s="142"/>
      <c r="AB9" s="142"/>
      <c r="AC9" s="142"/>
      <c r="AD9" s="142"/>
      <c r="AE9" s="142"/>
      <c r="AF9" s="142"/>
      <c r="AG9" s="142"/>
      <c r="AH9" s="143"/>
      <c r="AI9" s="143"/>
      <c r="AJ9" s="138"/>
      <c r="AK9" s="138"/>
    </row>
    <row r="10" spans="1:38" ht="50.5" thickBot="1" x14ac:dyDescent="0.4">
      <c r="A10" s="67" t="s">
        <v>754</v>
      </c>
      <c r="B10" s="67" t="s">
        <v>754</v>
      </c>
      <c r="C10" s="29" t="s">
        <v>758</v>
      </c>
      <c r="D10" s="22" t="s">
        <v>196</v>
      </c>
      <c r="E10" s="23" t="s">
        <v>706</v>
      </c>
      <c r="F10" s="26" t="s">
        <v>278</v>
      </c>
      <c r="G10" s="83">
        <f>G22*1000/'Conversion factors BATT'!$B19</f>
        <v>40000</v>
      </c>
      <c r="H10" s="83">
        <f>H22*1000/'Conversion factors BATT'!$B19</f>
        <v>80000</v>
      </c>
      <c r="I10" s="83">
        <f>I22*1000/'Conversion factors BATT'!$B19</f>
        <v>80000</v>
      </c>
      <c r="J10" s="83">
        <f>J22*1000/'Conversion factors BATT'!$B19</f>
        <v>80000</v>
      </c>
      <c r="K10" s="83">
        <f>K22*1000/'Conversion factors BATT'!$B19</f>
        <v>80000</v>
      </c>
      <c r="L10" s="83">
        <f>L22*1000/'Conversion factors BATT'!$B19</f>
        <v>80000</v>
      </c>
      <c r="M10" s="83">
        <f>M22*1000/'Conversion factors BATT'!$B19</f>
        <v>80000</v>
      </c>
      <c r="N10" s="83">
        <f>N22*1000/'Conversion factors BATT'!$B19</f>
        <v>80000</v>
      </c>
      <c r="O10" s="83">
        <f>O22*1000/'Conversion factors BATT'!$B19</f>
        <v>80000</v>
      </c>
      <c r="P10" s="83">
        <f>P22*1000/'Conversion factors BATT'!$B19</f>
        <v>80000</v>
      </c>
      <c r="Q10" s="81">
        <f t="shared" ref="Q10" si="1">SUM(G10:P10)</f>
        <v>760000</v>
      </c>
      <c r="R10" s="28"/>
      <c r="S10" s="88">
        <f>'Conversion factors BATT'!B67*'Conversion factors BATT'!$B19/1000</f>
        <v>0.6</v>
      </c>
      <c r="T10" s="88">
        <f t="shared" ref="T10:AC10" si="2">G10*$S10</f>
        <v>24000</v>
      </c>
      <c r="U10" s="88">
        <f t="shared" si="2"/>
        <v>48000</v>
      </c>
      <c r="V10" s="88">
        <f t="shared" si="2"/>
        <v>48000</v>
      </c>
      <c r="W10" s="88">
        <f t="shared" si="2"/>
        <v>48000</v>
      </c>
      <c r="X10" s="88">
        <f t="shared" si="2"/>
        <v>48000</v>
      </c>
      <c r="Y10" s="88">
        <f t="shared" si="2"/>
        <v>48000</v>
      </c>
      <c r="Z10" s="88">
        <f t="shared" si="2"/>
        <v>48000</v>
      </c>
      <c r="AA10" s="88">
        <f t="shared" si="2"/>
        <v>48000</v>
      </c>
      <c r="AB10" s="88">
        <f t="shared" si="2"/>
        <v>48000</v>
      </c>
      <c r="AC10" s="88">
        <f t="shared" si="2"/>
        <v>48000</v>
      </c>
      <c r="AD10" s="88">
        <f t="shared" ref="AD10" si="3">SUM(T10:AC10)</f>
        <v>456000</v>
      </c>
      <c r="AE10" s="28"/>
      <c r="AF10" s="26"/>
      <c r="AG10" s="28"/>
      <c r="AH10" s="28"/>
      <c r="AI10" s="28"/>
      <c r="AJ10" s="28"/>
      <c r="AK10" s="26"/>
    </row>
    <row r="11" spans="1:38" ht="13" thickBot="1" x14ac:dyDescent="0.4"/>
    <row r="12" spans="1:38" ht="26.15" customHeight="1" thickBot="1" x14ac:dyDescent="0.4">
      <c r="A12" s="137" t="s">
        <v>659</v>
      </c>
      <c r="B12" s="138"/>
      <c r="C12" s="138"/>
      <c r="D12" s="138"/>
      <c r="E12" s="138"/>
      <c r="F12" s="138"/>
      <c r="G12" s="139"/>
      <c r="H12" s="140"/>
      <c r="I12" s="138"/>
      <c r="J12" s="138"/>
      <c r="K12" s="138"/>
      <c r="L12" s="138"/>
      <c r="M12" s="138"/>
      <c r="N12" s="138"/>
      <c r="O12" s="138"/>
      <c r="P12" s="138"/>
      <c r="Q12" s="138"/>
      <c r="R12" s="138"/>
      <c r="S12" s="141"/>
      <c r="T12" s="142"/>
      <c r="U12" s="142"/>
      <c r="V12" s="142"/>
      <c r="W12" s="142"/>
      <c r="X12" s="142"/>
      <c r="Y12" s="142"/>
      <c r="Z12" s="142"/>
      <c r="AA12" s="142"/>
      <c r="AB12" s="142"/>
      <c r="AC12" s="142"/>
      <c r="AD12" s="142"/>
      <c r="AE12" s="142"/>
      <c r="AF12" s="142"/>
      <c r="AG12" s="142"/>
      <c r="AH12" s="143"/>
      <c r="AI12" s="143"/>
      <c r="AJ12" s="138"/>
      <c r="AK12" s="138"/>
    </row>
    <row r="13" spans="1:38" ht="38" thickBot="1" x14ac:dyDescent="0.4">
      <c r="A13" s="67" t="s">
        <v>753</v>
      </c>
      <c r="B13" s="67" t="s">
        <v>753</v>
      </c>
      <c r="C13" s="29" t="s">
        <v>757</v>
      </c>
      <c r="D13" s="22" t="s">
        <v>198</v>
      </c>
      <c r="E13" s="23" t="s">
        <v>70</v>
      </c>
      <c r="F13" s="26" t="s">
        <v>76</v>
      </c>
      <c r="G13" s="86">
        <f>10*G22*1000/'Conversion factors BATT'!$B$19*'Conversion factors BATT'!$B22*'Conversion factors BATT'!$B20*'Conversion factors BATT'!$B17</f>
        <v>3912.4768700185041</v>
      </c>
      <c r="H13" s="86">
        <f>10*H22*1000/'Conversion factors BATT'!$B$19*'Conversion factors BATT'!$B22*'Conversion factors BATT'!$B20*'Conversion factors BATT'!$B17</f>
        <v>7824.9537400370082</v>
      </c>
      <c r="I13" s="86">
        <f>10*I22*1000/'Conversion factors BATT'!$B$19*'Conversion factors BATT'!$B22*'Conversion factors BATT'!$B20*'Conversion factors BATT'!$B17</f>
        <v>7824.9537400370082</v>
      </c>
      <c r="J13" s="86">
        <f>10*J22*1000/'Conversion factors BATT'!$B$19*'Conversion factors BATT'!$B22*'Conversion factors BATT'!$B20*'Conversion factors BATT'!$B17</f>
        <v>7824.9537400370082</v>
      </c>
      <c r="K13" s="86">
        <f>10*K22*1000/'Conversion factors BATT'!$B$19*'Conversion factors BATT'!$B22*'Conversion factors BATT'!$B20*'Conversion factors BATT'!$B17</f>
        <v>7824.9537400370082</v>
      </c>
      <c r="L13" s="86">
        <f>10*L22*1000/'Conversion factors BATT'!$B$19*'Conversion factors BATT'!$B22*'Conversion factors BATT'!$B20*'Conversion factors BATT'!$B17</f>
        <v>7824.9537400370082</v>
      </c>
      <c r="M13" s="86">
        <f>10*M22*1000/'Conversion factors BATT'!$B$19*'Conversion factors BATT'!$B22*'Conversion factors BATT'!$B20*'Conversion factors BATT'!$B17</f>
        <v>7824.9537400370082</v>
      </c>
      <c r="N13" s="86">
        <f>10*N22*1000/'Conversion factors BATT'!$B$19*'Conversion factors BATT'!$B22*'Conversion factors BATT'!$B20*'Conversion factors BATT'!$B17</f>
        <v>7824.9537400370082</v>
      </c>
      <c r="O13" s="86">
        <f>10*O22*1000/'Conversion factors BATT'!$B$19*'Conversion factors BATT'!$B22*'Conversion factors BATT'!$B20*'Conversion factors BATT'!$B17</f>
        <v>7824.9537400370082</v>
      </c>
      <c r="P13" s="86">
        <f>10*P22*1000/'Conversion factors BATT'!$B$19*'Conversion factors BATT'!$B22*'Conversion factors BATT'!$B20*'Conversion factors BATT'!$B17</f>
        <v>7824.9537400370082</v>
      </c>
      <c r="Q13" s="81">
        <f>SUM(G13:P13)</f>
        <v>74337.060530351577</v>
      </c>
      <c r="R13" s="28"/>
      <c r="S13" s="83">
        <f>'Conversion factors BATT'!$B$4</f>
        <v>0</v>
      </c>
      <c r="T13" s="83">
        <f t="shared" ref="T13:AC13" si="4">$S13*G13</f>
        <v>0</v>
      </c>
      <c r="U13" s="83">
        <f t="shared" si="4"/>
        <v>0</v>
      </c>
      <c r="V13" s="83">
        <f t="shared" si="4"/>
        <v>0</v>
      </c>
      <c r="W13" s="83">
        <f t="shared" si="4"/>
        <v>0</v>
      </c>
      <c r="X13" s="83">
        <f t="shared" si="4"/>
        <v>0</v>
      </c>
      <c r="Y13" s="83">
        <f t="shared" si="4"/>
        <v>0</v>
      </c>
      <c r="Z13" s="83">
        <f t="shared" si="4"/>
        <v>0</v>
      </c>
      <c r="AA13" s="83">
        <f t="shared" si="4"/>
        <v>0</v>
      </c>
      <c r="AB13" s="83">
        <f t="shared" si="4"/>
        <v>0</v>
      </c>
      <c r="AC13" s="83">
        <f t="shared" si="4"/>
        <v>0</v>
      </c>
      <c r="AD13" s="83">
        <f t="shared" ref="AD13" si="5">SUM(T13:AC13)</f>
        <v>0</v>
      </c>
      <c r="AE13" s="28"/>
      <c r="AF13" s="26"/>
      <c r="AG13" s="28"/>
      <c r="AH13" s="28"/>
      <c r="AI13" s="28"/>
      <c r="AJ13" s="28"/>
      <c r="AK13" s="26"/>
    </row>
    <row r="14" spans="1:38" ht="13" thickBot="1" x14ac:dyDescent="0.4"/>
    <row r="15" spans="1:38" ht="26.15" customHeight="1" thickBot="1" x14ac:dyDescent="0.4">
      <c r="A15" s="137" t="s">
        <v>660</v>
      </c>
      <c r="B15" s="138"/>
      <c r="C15" s="138"/>
      <c r="D15" s="138"/>
      <c r="E15" s="138"/>
      <c r="F15" s="138"/>
      <c r="G15" s="138"/>
      <c r="H15" s="138"/>
      <c r="I15" s="138"/>
      <c r="J15" s="138"/>
      <c r="K15" s="138"/>
      <c r="L15" s="138"/>
      <c r="M15" s="138"/>
      <c r="N15" s="138"/>
      <c r="O15" s="138"/>
      <c r="P15" s="138"/>
      <c r="Q15" s="138"/>
      <c r="R15" s="138"/>
      <c r="S15" s="141"/>
      <c r="T15" s="142"/>
      <c r="U15" s="142"/>
      <c r="V15" s="142"/>
      <c r="W15" s="142"/>
      <c r="X15" s="142"/>
      <c r="Y15" s="142"/>
      <c r="Z15" s="142"/>
      <c r="AA15" s="142"/>
      <c r="AB15" s="142"/>
      <c r="AC15" s="142"/>
      <c r="AD15" s="142"/>
      <c r="AE15" s="142"/>
      <c r="AF15" s="142"/>
      <c r="AG15" s="142"/>
      <c r="AH15" s="143"/>
      <c r="AI15" s="143"/>
      <c r="AJ15" s="138"/>
      <c r="AK15" s="138"/>
    </row>
    <row r="16" spans="1:38" ht="40" customHeight="1" thickBot="1" x14ac:dyDescent="0.4">
      <c r="A16" s="67" t="s">
        <v>755</v>
      </c>
      <c r="B16" s="67" t="s">
        <v>755</v>
      </c>
      <c r="C16" s="29" t="s">
        <v>756</v>
      </c>
      <c r="D16" s="22" t="s">
        <v>197</v>
      </c>
      <c r="E16" s="29" t="s">
        <v>155</v>
      </c>
      <c r="F16" s="26" t="s">
        <v>341</v>
      </c>
      <c r="G16" s="83">
        <f t="shared" ref="G16:P16" si="6">G22</f>
        <v>4000</v>
      </c>
      <c r="H16" s="83">
        <f t="shared" si="6"/>
        <v>8000</v>
      </c>
      <c r="I16" s="83">
        <f t="shared" si="6"/>
        <v>8000</v>
      </c>
      <c r="J16" s="83">
        <f t="shared" si="6"/>
        <v>8000</v>
      </c>
      <c r="K16" s="83">
        <f t="shared" si="6"/>
        <v>8000</v>
      </c>
      <c r="L16" s="83">
        <f t="shared" si="6"/>
        <v>8000</v>
      </c>
      <c r="M16" s="83">
        <f t="shared" si="6"/>
        <v>8000</v>
      </c>
      <c r="N16" s="83">
        <f t="shared" si="6"/>
        <v>8000</v>
      </c>
      <c r="O16" s="83">
        <f t="shared" si="6"/>
        <v>8000</v>
      </c>
      <c r="P16" s="83">
        <f t="shared" si="6"/>
        <v>8000</v>
      </c>
      <c r="Q16" s="81">
        <f t="shared" ref="Q16" si="7">SUM(G16:P16)</f>
        <v>76000</v>
      </c>
      <c r="R16" s="28"/>
      <c r="S16" s="83">
        <f>'Conversion factors BATT'!B68</f>
        <v>0</v>
      </c>
      <c r="T16" s="83">
        <f t="shared" ref="T16:AC16" si="8">$S16*G16</f>
        <v>0</v>
      </c>
      <c r="U16" s="83">
        <f t="shared" si="8"/>
        <v>0</v>
      </c>
      <c r="V16" s="83">
        <f t="shared" si="8"/>
        <v>0</v>
      </c>
      <c r="W16" s="83">
        <f t="shared" si="8"/>
        <v>0</v>
      </c>
      <c r="X16" s="83">
        <f t="shared" si="8"/>
        <v>0</v>
      </c>
      <c r="Y16" s="83">
        <f t="shared" si="8"/>
        <v>0</v>
      </c>
      <c r="Z16" s="83">
        <f t="shared" si="8"/>
        <v>0</v>
      </c>
      <c r="AA16" s="83">
        <f t="shared" si="8"/>
        <v>0</v>
      </c>
      <c r="AB16" s="83">
        <f t="shared" si="8"/>
        <v>0</v>
      </c>
      <c r="AC16" s="83">
        <f t="shared" si="8"/>
        <v>0</v>
      </c>
      <c r="AD16" s="83">
        <f t="shared" ref="AD16" si="9">SUM(T16:AC16)</f>
        <v>0</v>
      </c>
      <c r="AE16" s="28"/>
      <c r="AF16" s="26"/>
      <c r="AG16" s="28"/>
      <c r="AH16" s="28"/>
      <c r="AI16" s="28"/>
      <c r="AJ16" s="28"/>
      <c r="AK16" s="26"/>
    </row>
    <row r="17" spans="1:37" ht="13" thickBot="1" x14ac:dyDescent="0.4"/>
    <row r="18" spans="1:37" ht="26.15" customHeight="1" thickBot="1" x14ac:dyDescent="0.4">
      <c r="A18" s="104" t="s">
        <v>654</v>
      </c>
      <c r="B18" s="105"/>
      <c r="C18" s="105"/>
      <c r="D18" s="105"/>
      <c r="E18" s="105"/>
      <c r="F18" s="105"/>
      <c r="G18" s="105"/>
      <c r="H18" s="105"/>
      <c r="I18" s="105"/>
      <c r="J18" s="105"/>
      <c r="K18" s="105"/>
      <c r="L18" s="105"/>
      <c r="M18" s="105"/>
      <c r="N18" s="105"/>
      <c r="O18" s="105"/>
      <c r="P18" s="105"/>
      <c r="Q18" s="105"/>
      <c r="R18" s="105"/>
      <c r="S18" s="106"/>
      <c r="T18" s="107"/>
      <c r="U18" s="107"/>
      <c r="V18" s="107"/>
      <c r="W18" s="107"/>
      <c r="X18" s="107"/>
      <c r="Y18" s="107"/>
      <c r="Z18" s="107"/>
      <c r="AA18" s="107"/>
      <c r="AB18" s="107"/>
      <c r="AC18" s="107"/>
      <c r="AD18" s="107"/>
      <c r="AE18" s="107"/>
      <c r="AF18" s="107"/>
      <c r="AG18" s="107"/>
      <c r="AH18" s="108"/>
      <c r="AI18" s="108"/>
      <c r="AJ18" s="105"/>
      <c r="AK18" s="105"/>
    </row>
    <row r="19" spans="1:37" ht="31" customHeight="1" thickBot="1" x14ac:dyDescent="0.4">
      <c r="A19" s="67" t="s">
        <v>369</v>
      </c>
      <c r="B19" s="79"/>
      <c r="C19" s="79"/>
      <c r="D19" s="79"/>
      <c r="E19" s="79"/>
      <c r="F19" s="79"/>
      <c r="G19" s="79"/>
      <c r="H19" s="79"/>
      <c r="I19" s="79"/>
      <c r="J19" s="79"/>
      <c r="K19" s="79"/>
      <c r="L19" s="79"/>
      <c r="M19" s="79"/>
      <c r="N19" s="79"/>
      <c r="O19" s="79"/>
      <c r="P19" s="79"/>
      <c r="Q19" s="79"/>
      <c r="R19" s="79"/>
      <c r="S19" s="85"/>
      <c r="T19" s="82">
        <f t="shared" ref="T19:AD19" si="10">T125+T78+T34</f>
        <v>291485.2496466384</v>
      </c>
      <c r="U19" s="82">
        <f t="shared" si="10"/>
        <v>545691.77929327672</v>
      </c>
      <c r="V19" s="82">
        <f t="shared" si="10"/>
        <v>545691.77929327672</v>
      </c>
      <c r="W19" s="82">
        <f t="shared" si="10"/>
        <v>528123.77929327672</v>
      </c>
      <c r="X19" s="82">
        <f t="shared" si="10"/>
        <v>527402.16801655677</v>
      </c>
      <c r="Y19" s="82">
        <f t="shared" si="10"/>
        <v>527402.16801655677</v>
      </c>
      <c r="Z19" s="82">
        <f t="shared" si="10"/>
        <v>527402.16801655677</v>
      </c>
      <c r="AA19" s="82">
        <f t="shared" si="10"/>
        <v>527402.16801655677</v>
      </c>
      <c r="AB19" s="82">
        <f t="shared" si="10"/>
        <v>527402.16801655677</v>
      </c>
      <c r="AC19" s="82">
        <f t="shared" si="10"/>
        <v>526680.5567398367</v>
      </c>
      <c r="AD19" s="82">
        <f t="shared" si="10"/>
        <v>5074683.9843490887</v>
      </c>
      <c r="AE19" s="28"/>
      <c r="AF19" s="26"/>
      <c r="AG19" s="28"/>
      <c r="AH19" s="28"/>
      <c r="AI19" s="28"/>
      <c r="AJ19" s="28"/>
      <c r="AK19" s="26"/>
    </row>
    <row r="20" spans="1:37" ht="13" thickBot="1" x14ac:dyDescent="0.4"/>
    <row r="21" spans="1:37" ht="26.15" customHeight="1" thickBot="1" x14ac:dyDescent="0.4">
      <c r="A21" s="112" t="s">
        <v>656</v>
      </c>
      <c r="B21" s="113"/>
      <c r="C21" s="113"/>
      <c r="D21" s="113"/>
      <c r="E21" s="113"/>
      <c r="F21" s="113"/>
      <c r="G21" s="113"/>
      <c r="H21" s="113"/>
      <c r="I21" s="113"/>
      <c r="J21" s="113"/>
      <c r="K21" s="113"/>
      <c r="L21" s="113"/>
      <c r="M21" s="113"/>
      <c r="N21" s="113"/>
      <c r="O21" s="113"/>
      <c r="P21" s="113"/>
      <c r="Q21" s="113"/>
      <c r="R21" s="113"/>
      <c r="S21" s="114"/>
      <c r="T21" s="114"/>
      <c r="U21" s="114"/>
      <c r="V21" s="114"/>
      <c r="W21" s="114"/>
      <c r="X21" s="114"/>
      <c r="Y21" s="114"/>
      <c r="Z21" s="114"/>
      <c r="AA21" s="114"/>
      <c r="AB21" s="114"/>
      <c r="AC21" s="114"/>
      <c r="AD21" s="115"/>
      <c r="AE21" s="115"/>
      <c r="AF21" s="115"/>
      <c r="AG21" s="113"/>
      <c r="AH21" s="113"/>
      <c r="AI21" s="115"/>
      <c r="AJ21" s="113"/>
      <c r="AK21" s="113"/>
    </row>
    <row r="22" spans="1:37" ht="41.15" customHeight="1" thickBot="1" x14ac:dyDescent="0.4">
      <c r="A22" s="22" t="s">
        <v>371</v>
      </c>
      <c r="B22" s="22" t="s">
        <v>372</v>
      </c>
      <c r="C22" s="29" t="s">
        <v>155</v>
      </c>
      <c r="D22" s="22" t="s">
        <v>195</v>
      </c>
      <c r="E22" s="29" t="s">
        <v>155</v>
      </c>
      <c r="F22" s="26" t="s">
        <v>341</v>
      </c>
      <c r="G22" s="84">
        <f>Assumptions!$B$10</f>
        <v>4000</v>
      </c>
      <c r="H22" s="84">
        <f>Assumptions!$B$11</f>
        <v>8000</v>
      </c>
      <c r="I22" s="84">
        <f>Assumptions!$B$11</f>
        <v>8000</v>
      </c>
      <c r="J22" s="84">
        <f>Assumptions!$B$11</f>
        <v>8000</v>
      </c>
      <c r="K22" s="84">
        <f>Assumptions!$B$11</f>
        <v>8000</v>
      </c>
      <c r="L22" s="84">
        <f>Assumptions!$B$11</f>
        <v>8000</v>
      </c>
      <c r="M22" s="84">
        <f>Assumptions!$B$11</f>
        <v>8000</v>
      </c>
      <c r="N22" s="84">
        <f>Assumptions!$B$11</f>
        <v>8000</v>
      </c>
      <c r="O22" s="84">
        <f>Assumptions!$B$11</f>
        <v>8000</v>
      </c>
      <c r="P22" s="84">
        <f>Assumptions!$B$11</f>
        <v>8000</v>
      </c>
      <c r="Q22" s="81">
        <f>SUM(G22:P22)</f>
        <v>76000</v>
      </c>
      <c r="R22" s="164" t="s">
        <v>808</v>
      </c>
      <c r="S22" s="28"/>
      <c r="T22" s="28"/>
      <c r="U22" s="28"/>
      <c r="V22" s="28"/>
      <c r="W22" s="28"/>
      <c r="X22" s="28"/>
      <c r="Y22" s="28"/>
      <c r="Z22" s="28"/>
      <c r="AA22" s="28"/>
      <c r="AB22" s="28"/>
      <c r="AC22" s="28"/>
      <c r="AD22" s="28"/>
      <c r="AE22" s="28"/>
      <c r="AF22" s="26"/>
      <c r="AG22" s="28"/>
      <c r="AH22" s="28"/>
      <c r="AI22" s="28"/>
      <c r="AJ22" s="28"/>
      <c r="AK22" s="26"/>
    </row>
    <row r="23" spans="1:37" ht="13" thickBot="1" x14ac:dyDescent="0.4"/>
    <row r="24" spans="1:37" ht="26.15" customHeight="1" thickBot="1" x14ac:dyDescent="0.4">
      <c r="A24" s="112" t="s">
        <v>657</v>
      </c>
      <c r="B24" s="113"/>
      <c r="C24" s="113"/>
      <c r="D24" s="113"/>
      <c r="E24" s="113"/>
      <c r="F24" s="113"/>
      <c r="G24" s="113"/>
      <c r="H24" s="113"/>
      <c r="I24" s="113"/>
      <c r="J24" s="113"/>
      <c r="K24" s="113"/>
      <c r="L24" s="113"/>
      <c r="M24" s="113"/>
      <c r="N24" s="113"/>
      <c r="O24" s="113"/>
      <c r="P24" s="113"/>
      <c r="Q24" s="113"/>
      <c r="R24" s="113"/>
      <c r="S24" s="135"/>
      <c r="T24" s="114"/>
      <c r="U24" s="114"/>
      <c r="V24" s="114"/>
      <c r="W24" s="114"/>
      <c r="X24" s="114"/>
      <c r="Y24" s="114"/>
      <c r="Z24" s="114"/>
      <c r="AA24" s="114"/>
      <c r="AB24" s="114"/>
      <c r="AC24" s="114"/>
      <c r="AD24" s="114"/>
      <c r="AE24" s="114"/>
      <c r="AF24" s="114"/>
      <c r="AG24" s="115"/>
      <c r="AH24" s="115"/>
      <c r="AI24" s="113"/>
      <c r="AJ24" s="113"/>
      <c r="AK24" s="115"/>
    </row>
    <row r="25" spans="1:37" ht="72.75" customHeight="1" thickBot="1" x14ac:dyDescent="0.4">
      <c r="A25" s="23" t="s">
        <v>712</v>
      </c>
      <c r="B25" s="23" t="s">
        <v>713</v>
      </c>
      <c r="C25" s="23" t="s">
        <v>70</v>
      </c>
      <c r="D25" s="22" t="s">
        <v>281</v>
      </c>
      <c r="E25" s="23" t="s">
        <v>70</v>
      </c>
      <c r="F25" s="26" t="s">
        <v>76</v>
      </c>
      <c r="G25" s="87">
        <f>Assumptions!$B$12</f>
        <v>462.18240000000003</v>
      </c>
      <c r="H25" s="87">
        <f>Assumptions!$B$13</f>
        <v>837.96479999999997</v>
      </c>
      <c r="I25" s="87">
        <f>Assumptions!$B$13</f>
        <v>837.96479999999997</v>
      </c>
      <c r="J25" s="87">
        <f>Assumptions!$B$13</f>
        <v>837.96479999999997</v>
      </c>
      <c r="K25" s="87">
        <f>Assumptions!$B$13</f>
        <v>837.96479999999997</v>
      </c>
      <c r="L25" s="87">
        <f>Assumptions!$B$13</f>
        <v>837.96479999999997</v>
      </c>
      <c r="M25" s="87">
        <f>Assumptions!$B$13</f>
        <v>837.96479999999997</v>
      </c>
      <c r="N25" s="87">
        <f>Assumptions!$B$13</f>
        <v>837.96479999999997</v>
      </c>
      <c r="O25" s="87">
        <f>Assumptions!$B$13</f>
        <v>837.96479999999997</v>
      </c>
      <c r="P25" s="87">
        <f>Assumptions!$B$13</f>
        <v>837.96479999999997</v>
      </c>
      <c r="Q25" s="95">
        <f t="shared" ref="Q25:Q31" si="11">SUM(G25:P25)</f>
        <v>8003.8655999999983</v>
      </c>
      <c r="R25" s="164" t="s">
        <v>813</v>
      </c>
      <c r="S25" s="83">
        <f>'Conversion factors BATT'!B5</f>
        <v>48.8</v>
      </c>
      <c r="T25" s="83">
        <f t="shared" ref="T25:AC25" si="12">G25*(1-G37)*$S25</f>
        <v>22554.501120000001</v>
      </c>
      <c r="U25" s="83">
        <f t="shared" si="12"/>
        <v>32108.682239999998</v>
      </c>
      <c r="V25" s="83">
        <f t="shared" si="12"/>
        <v>32108.682239999998</v>
      </c>
      <c r="W25" s="83">
        <f t="shared" si="12"/>
        <v>14540.68224</v>
      </c>
      <c r="X25" s="83">
        <f t="shared" si="12"/>
        <v>14540.68224</v>
      </c>
      <c r="Y25" s="83">
        <f t="shared" si="12"/>
        <v>14540.68224</v>
      </c>
      <c r="Z25" s="83">
        <f t="shared" si="12"/>
        <v>14540.68224</v>
      </c>
      <c r="AA25" s="83">
        <f t="shared" si="12"/>
        <v>14540.68224</v>
      </c>
      <c r="AB25" s="83">
        <f t="shared" si="12"/>
        <v>14540.68224</v>
      </c>
      <c r="AC25" s="83">
        <f t="shared" si="12"/>
        <v>14540.68224</v>
      </c>
      <c r="AD25" s="83">
        <f>SUM(T25:AC25)</f>
        <v>188556.64127999995</v>
      </c>
      <c r="AE25" s="28" t="s">
        <v>831</v>
      </c>
      <c r="AF25" s="26" t="s">
        <v>827</v>
      </c>
      <c r="AG25" s="28" t="s">
        <v>836</v>
      </c>
      <c r="AH25" s="172" t="s">
        <v>828</v>
      </c>
      <c r="AI25" s="28" t="s">
        <v>835</v>
      </c>
      <c r="AJ25" s="28"/>
      <c r="AK25" s="26" t="s">
        <v>829</v>
      </c>
    </row>
    <row r="26" spans="1:37" ht="31.5" customHeight="1" thickBot="1" x14ac:dyDescent="0.4">
      <c r="A26" s="23" t="s">
        <v>712</v>
      </c>
      <c r="B26" s="23" t="s">
        <v>714</v>
      </c>
      <c r="C26" s="23" t="s">
        <v>71</v>
      </c>
      <c r="D26" s="22" t="s">
        <v>282</v>
      </c>
      <c r="E26" s="23" t="s">
        <v>71</v>
      </c>
      <c r="F26" s="26" t="s">
        <v>76</v>
      </c>
      <c r="G26" s="87"/>
      <c r="H26" s="87"/>
      <c r="I26" s="87"/>
      <c r="J26" s="87"/>
      <c r="K26" s="87"/>
      <c r="L26" s="87"/>
      <c r="M26" s="87"/>
      <c r="N26" s="87"/>
      <c r="O26" s="87"/>
      <c r="P26" s="87"/>
      <c r="Q26" s="95">
        <f t="shared" si="11"/>
        <v>0</v>
      </c>
      <c r="R26" s="28"/>
      <c r="S26" s="86">
        <f>'Conversion factors BATT'!B8</f>
        <v>47.3</v>
      </c>
      <c r="T26" s="83">
        <f>G26*((1-G38)*$S26+G38*IF(ISNUMBER(G41)=FALSE,$S26,IF(G41&gt;=0,G41,$S26)))</f>
        <v>0</v>
      </c>
      <c r="U26" s="83">
        <f t="shared" ref="U26:AC26" si="13">H26*((1-H38)*$S26+H38*IF(ISNUMBER(H41)=FALSE,$S26,IF(H41&gt;=0,H41,$S26)))</f>
        <v>0</v>
      </c>
      <c r="V26" s="83">
        <f t="shared" si="13"/>
        <v>0</v>
      </c>
      <c r="W26" s="83">
        <f t="shared" si="13"/>
        <v>0</v>
      </c>
      <c r="X26" s="83">
        <f t="shared" si="13"/>
        <v>0</v>
      </c>
      <c r="Y26" s="83">
        <f t="shared" si="13"/>
        <v>0</v>
      </c>
      <c r="Z26" s="83">
        <f t="shared" si="13"/>
        <v>0</v>
      </c>
      <c r="AA26" s="83">
        <f t="shared" si="13"/>
        <v>0</v>
      </c>
      <c r="AB26" s="83">
        <f t="shared" si="13"/>
        <v>0</v>
      </c>
      <c r="AC26" s="83">
        <f t="shared" si="13"/>
        <v>0</v>
      </c>
      <c r="AD26" s="83">
        <f t="shared" ref="AD26:AD32" si="14">SUM(T26:AC26)</f>
        <v>0</v>
      </c>
      <c r="AE26" s="28"/>
      <c r="AF26" s="26"/>
      <c r="AG26" s="28"/>
      <c r="AH26" s="28"/>
      <c r="AI26" s="28"/>
      <c r="AJ26" s="28"/>
      <c r="AK26" s="26"/>
    </row>
    <row r="27" spans="1:37" ht="40.5" customHeight="1" thickBot="1" x14ac:dyDescent="0.4">
      <c r="A27" s="23" t="s">
        <v>712</v>
      </c>
      <c r="B27" s="23" t="s">
        <v>722</v>
      </c>
      <c r="C27" s="23" t="s">
        <v>72</v>
      </c>
      <c r="D27" s="22" t="s">
        <v>280</v>
      </c>
      <c r="E27" s="23" t="s">
        <v>72</v>
      </c>
      <c r="F27" s="26" t="s">
        <v>76</v>
      </c>
      <c r="G27" s="87"/>
      <c r="H27" s="87"/>
      <c r="I27" s="87"/>
      <c r="J27" s="87"/>
      <c r="K27" s="87"/>
      <c r="L27" s="87"/>
      <c r="M27" s="87"/>
      <c r="N27" s="87"/>
      <c r="O27" s="87"/>
      <c r="P27" s="87"/>
      <c r="Q27" s="95">
        <f t="shared" si="11"/>
        <v>0</v>
      </c>
      <c r="R27" s="28"/>
      <c r="S27" s="86">
        <f>'Conversion factors BATT'!B7</f>
        <v>57</v>
      </c>
      <c r="T27" s="83">
        <f t="shared" ref="T27:T28" si="15">G27*((1-G39)*$S27+G39*IF(ISNUMBER(G42)=FALSE,$S27,IF(G42&gt;=0,G42,$S27)))</f>
        <v>0</v>
      </c>
      <c r="U27" s="83">
        <f t="shared" ref="U27:U28" si="16">H27*((1-H39)*$S27+H39*IF(ISNUMBER(H42)=FALSE,$S27,IF(H42&gt;=0,H42,$S27)))</f>
        <v>0</v>
      </c>
      <c r="V27" s="83">
        <f t="shared" ref="V27:V28" si="17">I27*((1-I39)*$S27+I39*IF(ISNUMBER(I42)=FALSE,$S27,IF(I42&gt;=0,I42,$S27)))</f>
        <v>0</v>
      </c>
      <c r="W27" s="83">
        <f t="shared" ref="W27:W28" si="18">J27*((1-J39)*$S27+J39*IF(ISNUMBER(J42)=FALSE,$S27,IF(J42&gt;=0,J42,$S27)))</f>
        <v>0</v>
      </c>
      <c r="X27" s="83">
        <f t="shared" ref="X27:X28" si="19">K27*((1-K39)*$S27+K39*IF(ISNUMBER(K42)=FALSE,$S27,IF(K42&gt;=0,K42,$S27)))</f>
        <v>0</v>
      </c>
      <c r="Y27" s="83">
        <f t="shared" ref="Y27:Y28" si="20">L27*((1-L39)*$S27+L39*IF(ISNUMBER(L42)=FALSE,$S27,IF(L42&gt;=0,L42,$S27)))</f>
        <v>0</v>
      </c>
      <c r="Z27" s="83">
        <f t="shared" ref="Z27:Z28" si="21">M27*((1-M39)*$S27+M39*IF(ISNUMBER(M42)=FALSE,$S27,IF(M42&gt;=0,M42,$S27)))</f>
        <v>0</v>
      </c>
      <c r="AA27" s="83">
        <f t="shared" ref="AA27:AA28" si="22">N27*((1-N39)*$S27+N39*IF(ISNUMBER(N42)=FALSE,$S27,IF(N42&gt;=0,N42,$S27)))</f>
        <v>0</v>
      </c>
      <c r="AB27" s="83">
        <f t="shared" ref="AB27:AB28" si="23">O27*((1-O39)*$S27+O39*IF(ISNUMBER(O42)=FALSE,$S27,IF(O42&gt;=0,O42,$S27)))</f>
        <v>0</v>
      </c>
      <c r="AC27" s="83">
        <f t="shared" ref="AC27:AC28" si="24">P27*((1-P39)*$S27+P39*IF(ISNUMBER(P42)=FALSE,$S27,IF(P42&gt;=0,P42,$S27)))</f>
        <v>0</v>
      </c>
      <c r="AD27" s="83">
        <f t="shared" si="14"/>
        <v>0</v>
      </c>
      <c r="AE27" s="28"/>
      <c r="AF27" s="26"/>
      <c r="AG27" s="28"/>
      <c r="AH27" s="28"/>
      <c r="AI27" s="28"/>
      <c r="AJ27" s="28"/>
      <c r="AK27" s="26"/>
    </row>
    <row r="28" spans="1:37" ht="53.25" customHeight="1" thickBot="1" x14ac:dyDescent="0.4">
      <c r="A28" s="23" t="s">
        <v>712</v>
      </c>
      <c r="B28" s="23" t="s">
        <v>715</v>
      </c>
      <c r="C28" s="63" t="s">
        <v>105</v>
      </c>
      <c r="D28" s="29" t="s">
        <v>318</v>
      </c>
      <c r="E28" s="23" t="s">
        <v>105</v>
      </c>
      <c r="F28" s="26" t="s">
        <v>76</v>
      </c>
      <c r="G28" s="87">
        <f>Assumptions!$B$14</f>
        <v>432</v>
      </c>
      <c r="H28" s="87">
        <f>Assumptions!$B$14</f>
        <v>432</v>
      </c>
      <c r="I28" s="87">
        <f>Assumptions!$B$14</f>
        <v>432</v>
      </c>
      <c r="J28" s="87">
        <f>Assumptions!$B$14</f>
        <v>432</v>
      </c>
      <c r="K28" s="87">
        <f>Assumptions!$B$14</f>
        <v>432</v>
      </c>
      <c r="L28" s="87">
        <f>Assumptions!$B$14</f>
        <v>432</v>
      </c>
      <c r="M28" s="87">
        <f>Assumptions!$B$14</f>
        <v>432</v>
      </c>
      <c r="N28" s="87">
        <f>Assumptions!$B$14</f>
        <v>432</v>
      </c>
      <c r="O28" s="87">
        <f>Assumptions!$B$14</f>
        <v>432</v>
      </c>
      <c r="P28" s="87">
        <f>Assumptions!$B$14</f>
        <v>432</v>
      </c>
      <c r="Q28" s="95">
        <f t="shared" si="11"/>
        <v>4320</v>
      </c>
      <c r="R28" s="164" t="s">
        <v>809</v>
      </c>
      <c r="S28" s="86">
        <f>'Conversion factors BATT'!B9</f>
        <v>56.2</v>
      </c>
      <c r="T28" s="83">
        <f t="shared" si="15"/>
        <v>24278.400000000001</v>
      </c>
      <c r="U28" s="83">
        <f t="shared" si="16"/>
        <v>24278.400000000001</v>
      </c>
      <c r="V28" s="83">
        <f t="shared" si="17"/>
        <v>24278.400000000001</v>
      </c>
      <c r="W28" s="83">
        <f t="shared" si="18"/>
        <v>24278.400000000001</v>
      </c>
      <c r="X28" s="83">
        <f t="shared" si="19"/>
        <v>24278.400000000001</v>
      </c>
      <c r="Y28" s="83">
        <f t="shared" si="20"/>
        <v>24278.400000000001</v>
      </c>
      <c r="Z28" s="83">
        <f t="shared" si="21"/>
        <v>24278.400000000001</v>
      </c>
      <c r="AA28" s="83">
        <f t="shared" si="22"/>
        <v>24278.400000000001</v>
      </c>
      <c r="AB28" s="83">
        <f t="shared" si="23"/>
        <v>24278.400000000001</v>
      </c>
      <c r="AC28" s="83">
        <f t="shared" si="24"/>
        <v>24278.400000000001</v>
      </c>
      <c r="AD28" s="83">
        <f t="shared" si="14"/>
        <v>242783.99999999997</v>
      </c>
      <c r="AE28" s="28" t="s">
        <v>831</v>
      </c>
      <c r="AF28" s="26" t="s">
        <v>827</v>
      </c>
      <c r="AG28" s="28" t="s">
        <v>837</v>
      </c>
      <c r="AH28" s="28" t="s">
        <v>832</v>
      </c>
      <c r="AI28" s="28" t="s">
        <v>835</v>
      </c>
      <c r="AJ28" s="28"/>
      <c r="AK28" s="26" t="s">
        <v>829</v>
      </c>
    </row>
    <row r="29" spans="1:37" ht="28" customHeight="1" thickBot="1" x14ac:dyDescent="0.4">
      <c r="A29" s="23" t="s">
        <v>712</v>
      </c>
      <c r="B29" s="23" t="s">
        <v>716</v>
      </c>
      <c r="C29" s="63" t="s">
        <v>409</v>
      </c>
      <c r="D29" s="29" t="s">
        <v>315</v>
      </c>
      <c r="E29" s="23" t="s">
        <v>106</v>
      </c>
      <c r="F29" s="26" t="s">
        <v>107</v>
      </c>
      <c r="G29" s="87"/>
      <c r="H29" s="87"/>
      <c r="I29" s="87"/>
      <c r="J29" s="87"/>
      <c r="K29" s="87"/>
      <c r="L29" s="87"/>
      <c r="M29" s="87"/>
      <c r="N29" s="87"/>
      <c r="O29" s="87"/>
      <c r="P29" s="87"/>
      <c r="Q29" s="95">
        <f t="shared" si="11"/>
        <v>0</v>
      </c>
      <c r="R29" s="28"/>
      <c r="S29" s="88">
        <f>'Conversion factors BATT'!B16</f>
        <v>3.12</v>
      </c>
      <c r="T29" s="83">
        <f t="shared" ref="T29:AC33" si="25">G29*$S29</f>
        <v>0</v>
      </c>
      <c r="U29" s="83">
        <f t="shared" si="25"/>
        <v>0</v>
      </c>
      <c r="V29" s="83">
        <f t="shared" si="25"/>
        <v>0</v>
      </c>
      <c r="W29" s="83">
        <f t="shared" si="25"/>
        <v>0</v>
      </c>
      <c r="X29" s="83">
        <f t="shared" si="25"/>
        <v>0</v>
      </c>
      <c r="Y29" s="83">
        <f t="shared" si="25"/>
        <v>0</v>
      </c>
      <c r="Z29" s="83">
        <f t="shared" si="25"/>
        <v>0</v>
      </c>
      <c r="AA29" s="83">
        <f t="shared" si="25"/>
        <v>0</v>
      </c>
      <c r="AB29" s="83">
        <f t="shared" si="25"/>
        <v>0</v>
      </c>
      <c r="AC29" s="83">
        <f t="shared" si="25"/>
        <v>0</v>
      </c>
      <c r="AD29" s="83">
        <f t="shared" si="14"/>
        <v>0</v>
      </c>
      <c r="AE29" s="28"/>
      <c r="AF29" s="26"/>
      <c r="AG29" s="28"/>
      <c r="AH29" s="28"/>
      <c r="AI29" s="28"/>
      <c r="AJ29" s="28"/>
      <c r="AK29" s="26"/>
    </row>
    <row r="30" spans="1:37" ht="27.65" customHeight="1" thickBot="1" x14ac:dyDescent="0.4">
      <c r="A30" s="23" t="s">
        <v>712</v>
      </c>
      <c r="B30" s="23" t="s">
        <v>717</v>
      </c>
      <c r="C30" s="63" t="s">
        <v>108</v>
      </c>
      <c r="D30" s="29" t="s">
        <v>316</v>
      </c>
      <c r="E30" s="23" t="s">
        <v>108</v>
      </c>
      <c r="F30" s="26" t="s">
        <v>109</v>
      </c>
      <c r="G30" s="87"/>
      <c r="H30" s="87"/>
      <c r="I30" s="87"/>
      <c r="J30" s="87"/>
      <c r="K30" s="87"/>
      <c r="L30" s="87"/>
      <c r="M30" s="87"/>
      <c r="N30" s="87"/>
      <c r="O30" s="87"/>
      <c r="P30" s="87"/>
      <c r="Q30" s="95">
        <f t="shared" si="11"/>
        <v>0</v>
      </c>
      <c r="R30" s="28"/>
      <c r="S30" s="89">
        <f>'Conversion factors BATT'!B13</f>
        <v>2.6800000000000001E-3</v>
      </c>
      <c r="T30" s="83">
        <f t="shared" si="25"/>
        <v>0</v>
      </c>
      <c r="U30" s="83">
        <f t="shared" si="25"/>
        <v>0</v>
      </c>
      <c r="V30" s="83">
        <f t="shared" si="25"/>
        <v>0</v>
      </c>
      <c r="W30" s="83">
        <f t="shared" si="25"/>
        <v>0</v>
      </c>
      <c r="X30" s="83">
        <f t="shared" si="25"/>
        <v>0</v>
      </c>
      <c r="Y30" s="83">
        <f t="shared" si="25"/>
        <v>0</v>
      </c>
      <c r="Z30" s="83">
        <f t="shared" si="25"/>
        <v>0</v>
      </c>
      <c r="AA30" s="83">
        <f t="shared" si="25"/>
        <v>0</v>
      </c>
      <c r="AB30" s="83">
        <f t="shared" si="25"/>
        <v>0</v>
      </c>
      <c r="AC30" s="83">
        <f t="shared" si="25"/>
        <v>0</v>
      </c>
      <c r="AD30" s="83">
        <f t="shared" si="14"/>
        <v>0</v>
      </c>
      <c r="AE30" s="28"/>
      <c r="AF30" s="26"/>
      <c r="AG30" s="28"/>
      <c r="AH30" s="28"/>
      <c r="AI30" s="28"/>
      <c r="AJ30" s="28"/>
      <c r="AK30" s="26"/>
    </row>
    <row r="31" spans="1:37" ht="29.5" customHeight="1" thickBot="1" x14ac:dyDescent="0.4">
      <c r="A31" s="23" t="s">
        <v>712</v>
      </c>
      <c r="B31" s="23" t="s">
        <v>718</v>
      </c>
      <c r="C31" s="63" t="s">
        <v>110</v>
      </c>
      <c r="D31" s="29" t="s">
        <v>317</v>
      </c>
      <c r="E31" s="23" t="s">
        <v>110</v>
      </c>
      <c r="F31" s="26" t="s">
        <v>109</v>
      </c>
      <c r="G31" s="87"/>
      <c r="H31" s="87"/>
      <c r="I31" s="87"/>
      <c r="J31" s="87"/>
      <c r="K31" s="87"/>
      <c r="L31" s="87"/>
      <c r="M31" s="87"/>
      <c r="N31" s="87"/>
      <c r="O31" s="87"/>
      <c r="P31" s="87"/>
      <c r="Q31" s="95">
        <f t="shared" si="11"/>
        <v>0</v>
      </c>
      <c r="R31" s="28"/>
      <c r="S31" s="89">
        <f>'Conversion factors BATT'!B11</f>
        <v>2.2799999999999999E-3</v>
      </c>
      <c r="T31" s="83">
        <f t="shared" si="25"/>
        <v>0</v>
      </c>
      <c r="U31" s="83">
        <f t="shared" si="25"/>
        <v>0</v>
      </c>
      <c r="V31" s="83">
        <f t="shared" si="25"/>
        <v>0</v>
      </c>
      <c r="W31" s="83">
        <f t="shared" si="25"/>
        <v>0</v>
      </c>
      <c r="X31" s="83">
        <f t="shared" si="25"/>
        <v>0</v>
      </c>
      <c r="Y31" s="83">
        <f t="shared" si="25"/>
        <v>0</v>
      </c>
      <c r="Z31" s="83">
        <f t="shared" si="25"/>
        <v>0</v>
      </c>
      <c r="AA31" s="83">
        <f t="shared" si="25"/>
        <v>0</v>
      </c>
      <c r="AB31" s="83">
        <f t="shared" si="25"/>
        <v>0</v>
      </c>
      <c r="AC31" s="83">
        <f t="shared" si="25"/>
        <v>0</v>
      </c>
      <c r="AD31" s="83">
        <f t="shared" si="14"/>
        <v>0</v>
      </c>
      <c r="AE31" s="28"/>
      <c r="AF31" s="26"/>
      <c r="AG31" s="28"/>
      <c r="AH31" s="28"/>
      <c r="AI31" s="28"/>
      <c r="AJ31" s="28"/>
      <c r="AK31" s="26"/>
    </row>
    <row r="32" spans="1:37" ht="29.15" customHeight="1" thickBot="1" x14ac:dyDescent="0.4">
      <c r="A32" s="23" t="s">
        <v>712</v>
      </c>
      <c r="B32" s="23" t="s">
        <v>719</v>
      </c>
      <c r="C32" s="63" t="s">
        <v>408</v>
      </c>
      <c r="D32" s="22" t="s">
        <v>156</v>
      </c>
      <c r="E32" s="27" t="s">
        <v>60</v>
      </c>
      <c r="F32" s="26" t="s">
        <v>76</v>
      </c>
      <c r="G32" s="87"/>
      <c r="H32" s="87"/>
      <c r="I32" s="87"/>
      <c r="J32" s="87"/>
      <c r="K32" s="87"/>
      <c r="L32" s="87"/>
      <c r="M32" s="87"/>
      <c r="N32" s="87"/>
      <c r="O32" s="87"/>
      <c r="P32" s="87"/>
      <c r="Q32" s="95">
        <f>SUM(G32:P32)</f>
        <v>0</v>
      </c>
      <c r="R32" s="28"/>
      <c r="S32" s="27" t="s">
        <v>60</v>
      </c>
      <c r="T32" s="83">
        <f>IF(ISNUMBER($S32)=TRUE,G32*$S32,0)</f>
        <v>0</v>
      </c>
      <c r="U32" s="83">
        <f t="shared" ref="U32:AC32" si="26">IF(ISNUMBER($S32)=TRUE,H32*$S32,0)</f>
        <v>0</v>
      </c>
      <c r="V32" s="83">
        <f t="shared" si="26"/>
        <v>0</v>
      </c>
      <c r="W32" s="83">
        <f t="shared" si="26"/>
        <v>0</v>
      </c>
      <c r="X32" s="83">
        <f t="shared" si="26"/>
        <v>0</v>
      </c>
      <c r="Y32" s="83">
        <f t="shared" si="26"/>
        <v>0</v>
      </c>
      <c r="Z32" s="83">
        <f t="shared" si="26"/>
        <v>0</v>
      </c>
      <c r="AA32" s="83">
        <f t="shared" si="26"/>
        <v>0</v>
      </c>
      <c r="AB32" s="83">
        <f t="shared" si="26"/>
        <v>0</v>
      </c>
      <c r="AC32" s="83">
        <f t="shared" si="26"/>
        <v>0</v>
      </c>
      <c r="AD32" s="83">
        <f t="shared" si="14"/>
        <v>0</v>
      </c>
      <c r="AE32" s="28"/>
      <c r="AF32" s="26"/>
      <c r="AG32" s="28"/>
      <c r="AH32" s="28"/>
      <c r="AI32" s="28"/>
      <c r="AJ32" s="28"/>
      <c r="AK32" s="26"/>
    </row>
    <row r="33" spans="1:37" ht="52.5" customHeight="1" thickBot="1" x14ac:dyDescent="0.4">
      <c r="A33" s="23" t="s">
        <v>764</v>
      </c>
      <c r="B33" s="23" t="s">
        <v>764</v>
      </c>
      <c r="C33" s="63" t="s">
        <v>465</v>
      </c>
      <c r="D33" s="29" t="s">
        <v>344</v>
      </c>
      <c r="E33" s="23" t="s">
        <v>31</v>
      </c>
      <c r="F33" s="26" t="s">
        <v>107</v>
      </c>
      <c r="G33" s="84">
        <f>Assumptions!$B$15</f>
        <v>2180.8456418383516</v>
      </c>
      <c r="H33" s="84">
        <f>Assumptions!$B$16</f>
        <v>4361.6912836767033</v>
      </c>
      <c r="I33" s="84">
        <f>Assumptions!$B$16</f>
        <v>4361.6912836767033</v>
      </c>
      <c r="J33" s="84">
        <f>Assumptions!$B$16</f>
        <v>4361.6912836767033</v>
      </c>
      <c r="K33" s="84">
        <f>Assumptions!$B$16</f>
        <v>4361.6912836767033</v>
      </c>
      <c r="L33" s="84">
        <f>Assumptions!$B$16</f>
        <v>4361.6912836767033</v>
      </c>
      <c r="M33" s="84">
        <f>Assumptions!$B$16</f>
        <v>4361.6912836767033</v>
      </c>
      <c r="N33" s="84">
        <f>Assumptions!$B$16</f>
        <v>4361.6912836767033</v>
      </c>
      <c r="O33" s="84">
        <f>Assumptions!$B$16</f>
        <v>4361.6912836767033</v>
      </c>
      <c r="P33" s="84">
        <f>Assumptions!$B$16</f>
        <v>4361.6912836767033</v>
      </c>
      <c r="Q33" s="81">
        <f t="shared" ref="Q33" si="27">SUM(G33:P33)</f>
        <v>41436.067194928684</v>
      </c>
      <c r="R33" s="164" t="s">
        <v>855</v>
      </c>
      <c r="S33" s="83">
        <v>1</v>
      </c>
      <c r="T33" s="83">
        <f>G33*$S33</f>
        <v>2180.8456418383516</v>
      </c>
      <c r="U33" s="83">
        <f t="shared" si="25"/>
        <v>4361.6912836767033</v>
      </c>
      <c r="V33" s="83">
        <f t="shared" si="25"/>
        <v>4361.6912836767033</v>
      </c>
      <c r="W33" s="83">
        <f t="shared" si="25"/>
        <v>4361.6912836767033</v>
      </c>
      <c r="X33" s="83">
        <f t="shared" si="25"/>
        <v>4361.6912836767033</v>
      </c>
      <c r="Y33" s="83">
        <f t="shared" si="25"/>
        <v>4361.6912836767033</v>
      </c>
      <c r="Z33" s="83">
        <f t="shared" si="25"/>
        <v>4361.6912836767033</v>
      </c>
      <c r="AA33" s="83">
        <f t="shared" si="25"/>
        <v>4361.6912836767033</v>
      </c>
      <c r="AB33" s="83">
        <f t="shared" si="25"/>
        <v>4361.6912836767033</v>
      </c>
      <c r="AC33" s="83">
        <f t="shared" si="25"/>
        <v>4361.6912836767033</v>
      </c>
      <c r="AD33" s="83">
        <f t="shared" ref="AD33" si="28">SUM(T33:AC33)</f>
        <v>41436.067194928684</v>
      </c>
      <c r="AE33" s="28" t="s">
        <v>831</v>
      </c>
      <c r="AF33" s="26" t="s">
        <v>850</v>
      </c>
      <c r="AG33" s="28" t="s">
        <v>838</v>
      </c>
      <c r="AH33" s="28" t="s">
        <v>833</v>
      </c>
      <c r="AI33" s="172" t="s">
        <v>834</v>
      </c>
      <c r="AJ33" s="28" t="s">
        <v>839</v>
      </c>
      <c r="AK33" s="26" t="s">
        <v>830</v>
      </c>
    </row>
    <row r="34" spans="1:37" ht="42.65" customHeight="1" thickBot="1" x14ac:dyDescent="0.4">
      <c r="A34" s="109"/>
      <c r="B34" s="109"/>
      <c r="C34" s="110"/>
      <c r="D34" s="111" t="s">
        <v>187</v>
      </c>
      <c r="E34" s="110" t="s">
        <v>158</v>
      </c>
      <c r="F34" s="79"/>
      <c r="G34" s="79"/>
      <c r="H34" s="79"/>
      <c r="I34" s="79"/>
      <c r="J34" s="79"/>
      <c r="K34" s="79"/>
      <c r="L34" s="79"/>
      <c r="M34" s="79"/>
      <c r="N34" s="79"/>
      <c r="O34" s="79"/>
      <c r="P34" s="79"/>
      <c r="Q34" s="79"/>
      <c r="R34" s="79"/>
      <c r="S34" s="85"/>
      <c r="T34" s="83">
        <f>SUM(T25:T33)</f>
        <v>49013.746761838353</v>
      </c>
      <c r="U34" s="83">
        <f t="shared" ref="U34:AC34" si="29">SUM(U25:U33)</f>
        <v>60748.773523676704</v>
      </c>
      <c r="V34" s="83">
        <f t="shared" si="29"/>
        <v>60748.773523676704</v>
      </c>
      <c r="W34" s="83">
        <f t="shared" si="29"/>
        <v>43180.773523676704</v>
      </c>
      <c r="X34" s="83">
        <f t="shared" si="29"/>
        <v>43180.773523676704</v>
      </c>
      <c r="Y34" s="83">
        <f t="shared" si="29"/>
        <v>43180.773523676704</v>
      </c>
      <c r="Z34" s="83">
        <f t="shared" si="29"/>
        <v>43180.773523676704</v>
      </c>
      <c r="AA34" s="83">
        <f t="shared" si="29"/>
        <v>43180.773523676704</v>
      </c>
      <c r="AB34" s="83">
        <f t="shared" si="29"/>
        <v>43180.773523676704</v>
      </c>
      <c r="AC34" s="83">
        <f t="shared" si="29"/>
        <v>43180.773523676704</v>
      </c>
      <c r="AD34" s="83">
        <f>SUM(AD25:AD33)</f>
        <v>472776.70847492863</v>
      </c>
      <c r="AE34" s="28"/>
      <c r="AF34" s="26"/>
      <c r="AG34" s="28"/>
      <c r="AH34" s="28"/>
      <c r="AI34" s="28"/>
      <c r="AJ34" s="28"/>
      <c r="AK34" s="26"/>
    </row>
    <row r="35" spans="1:37" ht="13" thickBot="1" x14ac:dyDescent="0.4"/>
    <row r="36" spans="1:37" ht="26.15" customHeight="1" thickBot="1" x14ac:dyDescent="0.4">
      <c r="A36" s="112" t="s">
        <v>759</v>
      </c>
      <c r="B36" s="113"/>
      <c r="C36" s="113"/>
      <c r="D36" s="113"/>
      <c r="E36" s="113"/>
      <c r="F36" s="113"/>
      <c r="G36" s="113"/>
      <c r="H36" s="113"/>
      <c r="I36" s="113"/>
      <c r="J36" s="113"/>
      <c r="K36" s="113"/>
      <c r="L36" s="113"/>
      <c r="M36" s="113"/>
      <c r="N36" s="113"/>
      <c r="O36" s="113"/>
      <c r="P36" s="113"/>
      <c r="Q36" s="113"/>
      <c r="R36" s="113"/>
      <c r="S36" s="114"/>
      <c r="T36" s="114"/>
      <c r="U36" s="114"/>
      <c r="V36" s="114"/>
      <c r="W36" s="114"/>
      <c r="X36" s="114"/>
      <c r="Y36" s="114"/>
      <c r="Z36" s="114"/>
      <c r="AA36" s="114"/>
      <c r="AB36" s="114"/>
      <c r="AC36" s="114"/>
      <c r="AD36" s="114"/>
      <c r="AE36" s="114"/>
      <c r="AF36" s="114"/>
      <c r="AG36" s="115"/>
      <c r="AH36" s="115"/>
      <c r="AI36" s="113"/>
      <c r="AJ36" s="113"/>
      <c r="AK36" s="115"/>
    </row>
    <row r="37" spans="1:37" ht="90" customHeight="1" thickBot="1" x14ac:dyDescent="0.4">
      <c r="A37" s="23" t="s">
        <v>707</v>
      </c>
      <c r="B37" s="23" t="s">
        <v>708</v>
      </c>
      <c r="C37" s="29" t="s">
        <v>694</v>
      </c>
      <c r="D37" s="22" t="s">
        <v>177</v>
      </c>
      <c r="E37" s="29" t="s">
        <v>194</v>
      </c>
      <c r="F37" s="26" t="s">
        <v>73</v>
      </c>
      <c r="G37" s="91">
        <v>0</v>
      </c>
      <c r="H37" s="91">
        <f>50*3.6/H25</f>
        <v>0.21480615892218863</v>
      </c>
      <c r="I37" s="91">
        <f>50*3.6/I25</f>
        <v>0.21480615892218863</v>
      </c>
      <c r="J37" s="91">
        <f>150*3.6/J25</f>
        <v>0.64441847676656583</v>
      </c>
      <c r="K37" s="91">
        <f t="shared" ref="K37:P37" si="30">150*3.6/K25</f>
        <v>0.64441847676656583</v>
      </c>
      <c r="L37" s="91">
        <f t="shared" si="30"/>
        <v>0.64441847676656583</v>
      </c>
      <c r="M37" s="91">
        <f t="shared" si="30"/>
        <v>0.64441847676656583</v>
      </c>
      <c r="N37" s="91">
        <f t="shared" si="30"/>
        <v>0.64441847676656583</v>
      </c>
      <c r="O37" s="91">
        <f t="shared" si="30"/>
        <v>0.64441847676656583</v>
      </c>
      <c r="P37" s="91">
        <f t="shared" si="30"/>
        <v>0.64441847676656583</v>
      </c>
      <c r="Q37" s="28"/>
      <c r="R37" s="164" t="s">
        <v>852</v>
      </c>
      <c r="S37" s="28"/>
      <c r="T37" s="28"/>
      <c r="U37" s="28"/>
      <c r="V37" s="28"/>
      <c r="W37" s="28"/>
      <c r="X37" s="28"/>
      <c r="Y37" s="28"/>
      <c r="Z37" s="28"/>
      <c r="AA37" s="28"/>
      <c r="AB37" s="28"/>
      <c r="AC37" s="28"/>
      <c r="AD37" s="28"/>
      <c r="AE37" s="28"/>
      <c r="AF37" s="26"/>
      <c r="AG37" s="28"/>
      <c r="AH37" s="28"/>
      <c r="AI37" s="28"/>
      <c r="AJ37" s="28"/>
      <c r="AK37" s="26"/>
    </row>
    <row r="38" spans="1:37" ht="42.65" customHeight="1" thickBot="1" x14ac:dyDescent="0.4">
      <c r="A38" s="23" t="s">
        <v>707</v>
      </c>
      <c r="B38" s="23" t="s">
        <v>709</v>
      </c>
      <c r="C38" s="23" t="s">
        <v>695</v>
      </c>
      <c r="D38" s="22" t="s">
        <v>700</v>
      </c>
      <c r="E38" s="29" t="s">
        <v>692</v>
      </c>
      <c r="F38" s="26" t="s">
        <v>73</v>
      </c>
      <c r="G38" s="91">
        <v>0</v>
      </c>
      <c r="H38" s="91">
        <v>0</v>
      </c>
      <c r="I38" s="91">
        <v>0</v>
      </c>
      <c r="J38" s="91">
        <v>0</v>
      </c>
      <c r="K38" s="91">
        <v>0</v>
      </c>
      <c r="L38" s="91">
        <v>0</v>
      </c>
      <c r="M38" s="91">
        <v>0</v>
      </c>
      <c r="N38" s="91">
        <v>0</v>
      </c>
      <c r="O38" s="91">
        <v>0</v>
      </c>
      <c r="P38" s="91">
        <v>0</v>
      </c>
      <c r="Q38" s="28"/>
      <c r="R38" s="28"/>
      <c r="S38" s="28"/>
      <c r="T38" s="28"/>
      <c r="U38" s="28"/>
      <c r="V38" s="28"/>
      <c r="W38" s="28"/>
      <c r="X38" s="28"/>
      <c r="Y38" s="28"/>
      <c r="Z38" s="28"/>
      <c r="AA38" s="28"/>
      <c r="AB38" s="28"/>
      <c r="AC38" s="28"/>
      <c r="AD38" s="28"/>
      <c r="AE38" s="28"/>
      <c r="AF38" s="26"/>
      <c r="AG38" s="28"/>
      <c r="AH38" s="28"/>
      <c r="AI38" s="28"/>
      <c r="AJ38" s="28"/>
      <c r="AK38" s="26"/>
    </row>
    <row r="39" spans="1:37" ht="42.65" customHeight="1" thickBot="1" x14ac:dyDescent="0.4">
      <c r="A39" s="23" t="s">
        <v>707</v>
      </c>
      <c r="B39" s="23" t="s">
        <v>710</v>
      </c>
      <c r="C39" s="29" t="s">
        <v>697</v>
      </c>
      <c r="D39" s="22" t="s">
        <v>699</v>
      </c>
      <c r="E39" s="29" t="s">
        <v>698</v>
      </c>
      <c r="F39" s="26" t="s">
        <v>73</v>
      </c>
      <c r="G39" s="91">
        <v>0</v>
      </c>
      <c r="H39" s="91">
        <v>0</v>
      </c>
      <c r="I39" s="91">
        <v>0</v>
      </c>
      <c r="J39" s="91">
        <v>0</v>
      </c>
      <c r="K39" s="91">
        <v>0</v>
      </c>
      <c r="L39" s="91">
        <v>0</v>
      </c>
      <c r="M39" s="91">
        <v>0</v>
      </c>
      <c r="N39" s="91">
        <v>0</v>
      </c>
      <c r="O39" s="91">
        <v>0</v>
      </c>
      <c r="P39" s="91">
        <v>0</v>
      </c>
      <c r="Q39" s="28"/>
      <c r="R39" s="28"/>
      <c r="S39" s="28"/>
      <c r="T39" s="28"/>
      <c r="U39" s="28"/>
      <c r="V39" s="28"/>
      <c r="W39" s="28"/>
      <c r="X39" s="28"/>
      <c r="Y39" s="28"/>
      <c r="Z39" s="28"/>
      <c r="AA39" s="28"/>
      <c r="AB39" s="28"/>
      <c r="AC39" s="28"/>
      <c r="AD39" s="28"/>
      <c r="AE39" s="28"/>
      <c r="AF39" s="26"/>
      <c r="AG39" s="28"/>
      <c r="AH39" s="28"/>
      <c r="AI39" s="28"/>
      <c r="AJ39" s="28"/>
      <c r="AK39" s="26"/>
    </row>
    <row r="40" spans="1:37" ht="42.65" customHeight="1" thickBot="1" x14ac:dyDescent="0.4">
      <c r="A40" s="23" t="s">
        <v>707</v>
      </c>
      <c r="B40" s="23" t="s">
        <v>711</v>
      </c>
      <c r="C40" s="29" t="s">
        <v>696</v>
      </c>
      <c r="D40" s="22" t="s">
        <v>701</v>
      </c>
      <c r="E40" s="29" t="s">
        <v>693</v>
      </c>
      <c r="F40" s="26" t="s">
        <v>73</v>
      </c>
      <c r="G40" s="91">
        <v>0</v>
      </c>
      <c r="H40" s="91">
        <v>0</v>
      </c>
      <c r="I40" s="91">
        <v>0</v>
      </c>
      <c r="J40" s="91">
        <v>0</v>
      </c>
      <c r="K40" s="91">
        <v>0</v>
      </c>
      <c r="L40" s="91">
        <v>0</v>
      </c>
      <c r="M40" s="91">
        <v>0</v>
      </c>
      <c r="N40" s="91">
        <v>0</v>
      </c>
      <c r="O40" s="91">
        <v>0</v>
      </c>
      <c r="P40" s="91">
        <v>0</v>
      </c>
      <c r="Q40" s="28"/>
      <c r="R40" s="28"/>
      <c r="S40" s="28"/>
      <c r="T40" s="28"/>
      <c r="U40" s="28"/>
      <c r="V40" s="28"/>
      <c r="W40" s="28"/>
      <c r="X40" s="28"/>
      <c r="Y40" s="28"/>
      <c r="Z40" s="28"/>
      <c r="AA40" s="28"/>
      <c r="AB40" s="28"/>
      <c r="AC40" s="28"/>
      <c r="AD40" s="28"/>
      <c r="AE40" s="28"/>
      <c r="AF40" s="26"/>
      <c r="AG40" s="28"/>
      <c r="AH40" s="28"/>
      <c r="AI40" s="28"/>
      <c r="AJ40" s="28"/>
      <c r="AK40" s="26"/>
    </row>
    <row r="41" spans="1:37" ht="42.65" customHeight="1" thickBot="1" x14ac:dyDescent="0.4">
      <c r="A41" s="29" t="s">
        <v>720</v>
      </c>
      <c r="B41" s="29" t="s">
        <v>720</v>
      </c>
      <c r="C41" s="23" t="s">
        <v>695</v>
      </c>
      <c r="D41" s="97" t="s">
        <v>704</v>
      </c>
      <c r="E41" s="29" t="s">
        <v>157</v>
      </c>
      <c r="F41" s="26" t="s">
        <v>705</v>
      </c>
      <c r="G41" s="144" t="s">
        <v>760</v>
      </c>
      <c r="H41" s="144" t="s">
        <v>760</v>
      </c>
      <c r="I41" s="144" t="s">
        <v>760</v>
      </c>
      <c r="J41" s="144" t="s">
        <v>760</v>
      </c>
      <c r="K41" s="144" t="s">
        <v>760</v>
      </c>
      <c r="L41" s="144" t="s">
        <v>760</v>
      </c>
      <c r="M41" s="144" t="s">
        <v>760</v>
      </c>
      <c r="N41" s="144" t="s">
        <v>760</v>
      </c>
      <c r="O41" s="144" t="s">
        <v>760</v>
      </c>
      <c r="P41" s="144" t="s">
        <v>760</v>
      </c>
      <c r="Q41" s="28"/>
      <c r="R41" s="28"/>
      <c r="S41" s="28"/>
      <c r="T41" s="28"/>
      <c r="U41" s="28"/>
      <c r="V41" s="28"/>
      <c r="W41" s="28"/>
      <c r="X41" s="28"/>
      <c r="Y41" s="28"/>
      <c r="Z41" s="28"/>
      <c r="AA41" s="28"/>
      <c r="AB41" s="28"/>
      <c r="AC41" s="28"/>
      <c r="AD41" s="28"/>
      <c r="AE41" s="28"/>
      <c r="AF41" s="26"/>
      <c r="AG41" s="28"/>
      <c r="AH41" s="28"/>
      <c r="AI41" s="28"/>
      <c r="AJ41" s="28"/>
      <c r="AK41" s="26"/>
    </row>
    <row r="42" spans="1:37" ht="42.65" customHeight="1" thickBot="1" x14ac:dyDescent="0.4">
      <c r="A42" s="29" t="s">
        <v>721</v>
      </c>
      <c r="B42" s="29" t="s">
        <v>721</v>
      </c>
      <c r="C42" s="29" t="s">
        <v>697</v>
      </c>
      <c r="D42" s="97" t="s">
        <v>703</v>
      </c>
      <c r="E42" s="29" t="s">
        <v>157</v>
      </c>
      <c r="F42" s="26" t="s">
        <v>705</v>
      </c>
      <c r="G42" s="144" t="s">
        <v>760</v>
      </c>
      <c r="H42" s="144" t="s">
        <v>760</v>
      </c>
      <c r="I42" s="144" t="s">
        <v>760</v>
      </c>
      <c r="J42" s="144" t="s">
        <v>760</v>
      </c>
      <c r="K42" s="144" t="s">
        <v>760</v>
      </c>
      <c r="L42" s="144" t="s">
        <v>760</v>
      </c>
      <c r="M42" s="144" t="s">
        <v>760</v>
      </c>
      <c r="N42" s="144" t="s">
        <v>760</v>
      </c>
      <c r="O42" s="144" t="s">
        <v>760</v>
      </c>
      <c r="P42" s="144" t="s">
        <v>760</v>
      </c>
      <c r="Q42" s="28"/>
      <c r="R42" s="28"/>
      <c r="S42" s="28"/>
      <c r="T42" s="28"/>
      <c r="U42" s="28"/>
      <c r="V42" s="28"/>
      <c r="W42" s="28"/>
      <c r="X42" s="28"/>
      <c r="Y42" s="28"/>
      <c r="Z42" s="28"/>
      <c r="AA42" s="28"/>
      <c r="AB42" s="28"/>
      <c r="AC42" s="28"/>
      <c r="AD42" s="28"/>
      <c r="AE42" s="28"/>
      <c r="AF42" s="26"/>
      <c r="AG42" s="28"/>
      <c r="AH42" s="28"/>
      <c r="AI42" s="28"/>
      <c r="AJ42" s="28"/>
      <c r="AK42" s="26"/>
    </row>
    <row r="43" spans="1:37" ht="42.65" customHeight="1" thickBot="1" x14ac:dyDescent="0.4">
      <c r="A43" s="29" t="s">
        <v>723</v>
      </c>
      <c r="B43" s="29" t="s">
        <v>723</v>
      </c>
      <c r="C43" s="29" t="s">
        <v>696</v>
      </c>
      <c r="D43" s="97" t="s">
        <v>702</v>
      </c>
      <c r="E43" s="29" t="s">
        <v>157</v>
      </c>
      <c r="F43" s="26" t="s">
        <v>705</v>
      </c>
      <c r="G43" s="144" t="s">
        <v>760</v>
      </c>
      <c r="H43" s="144" t="s">
        <v>760</v>
      </c>
      <c r="I43" s="144" t="s">
        <v>760</v>
      </c>
      <c r="J43" s="144" t="s">
        <v>760</v>
      </c>
      <c r="K43" s="144" t="s">
        <v>760</v>
      </c>
      <c r="L43" s="144" t="s">
        <v>760</v>
      </c>
      <c r="M43" s="144" t="s">
        <v>760</v>
      </c>
      <c r="N43" s="144" t="s">
        <v>760</v>
      </c>
      <c r="O43" s="144" t="s">
        <v>760</v>
      </c>
      <c r="P43" s="144" t="s">
        <v>760</v>
      </c>
      <c r="Q43" s="28"/>
      <c r="R43" s="28"/>
      <c r="S43" s="28"/>
      <c r="T43" s="28"/>
      <c r="U43" s="28"/>
      <c r="V43" s="28"/>
      <c r="W43" s="28"/>
      <c r="X43" s="28"/>
      <c r="Y43" s="28"/>
      <c r="Z43" s="28"/>
      <c r="AA43" s="28"/>
      <c r="AB43" s="28"/>
      <c r="AC43" s="28"/>
      <c r="AD43" s="28"/>
      <c r="AE43" s="28"/>
      <c r="AF43" s="26"/>
      <c r="AG43" s="28"/>
      <c r="AH43" s="28"/>
      <c r="AI43" s="28"/>
      <c r="AJ43" s="28"/>
      <c r="AK43" s="26"/>
    </row>
    <row r="44" spans="1:37" ht="13" thickBot="1" x14ac:dyDescent="0.4"/>
    <row r="45" spans="1:37" ht="26.15" customHeight="1" thickBot="1" x14ac:dyDescent="0.4">
      <c r="A45" s="112" t="s">
        <v>687</v>
      </c>
      <c r="B45" s="113"/>
      <c r="C45" s="113"/>
      <c r="D45" s="113"/>
      <c r="E45" s="113"/>
      <c r="F45" s="113"/>
      <c r="G45" s="113"/>
      <c r="H45" s="113"/>
      <c r="I45" s="113"/>
      <c r="J45" s="113"/>
      <c r="K45" s="113"/>
      <c r="L45" s="113"/>
      <c r="M45" s="113"/>
      <c r="N45" s="113"/>
      <c r="O45" s="113"/>
      <c r="P45" s="113"/>
      <c r="Q45" s="113"/>
      <c r="R45" s="113"/>
      <c r="S45" s="114"/>
      <c r="T45" s="114"/>
      <c r="U45" s="114"/>
      <c r="V45" s="114"/>
      <c r="W45" s="114"/>
      <c r="X45" s="114"/>
      <c r="Y45" s="114"/>
      <c r="Z45" s="114"/>
      <c r="AA45" s="114"/>
      <c r="AB45" s="114"/>
      <c r="AC45" s="114"/>
      <c r="AD45" s="114"/>
      <c r="AE45" s="114"/>
      <c r="AF45" s="114"/>
      <c r="AG45" s="115"/>
      <c r="AH45" s="115"/>
      <c r="AI45" s="113"/>
      <c r="AJ45" s="113"/>
      <c r="AK45" s="115"/>
    </row>
    <row r="46" spans="1:37" ht="84.75" customHeight="1" thickBot="1" x14ac:dyDescent="0.4">
      <c r="A46" s="23" t="s">
        <v>724</v>
      </c>
      <c r="B46" s="23" t="s">
        <v>725</v>
      </c>
      <c r="C46" s="29" t="s">
        <v>150</v>
      </c>
      <c r="D46" s="97" t="s">
        <v>186</v>
      </c>
      <c r="E46" s="29" t="s">
        <v>182</v>
      </c>
      <c r="F46" s="26" t="s">
        <v>762</v>
      </c>
      <c r="G46" s="103">
        <f>Assumptions!$B17/1000</f>
        <v>1.92</v>
      </c>
      <c r="H46" s="103">
        <f>Assumptions!$B17/1000</f>
        <v>1.92</v>
      </c>
      <c r="I46" s="103">
        <f>Assumptions!$B17/1000</f>
        <v>1.92</v>
      </c>
      <c r="J46" s="103">
        <f>Assumptions!$B17/1000</f>
        <v>1.92</v>
      </c>
      <c r="K46" s="103">
        <f>Assumptions!$B17/1000</f>
        <v>1.92</v>
      </c>
      <c r="L46" s="103">
        <f>Assumptions!$B17/1000</f>
        <v>1.92</v>
      </c>
      <c r="M46" s="103">
        <f>Assumptions!$B17/1000</f>
        <v>1.92</v>
      </c>
      <c r="N46" s="103">
        <f>Assumptions!$B17/1000</f>
        <v>1.92</v>
      </c>
      <c r="O46" s="103">
        <f>Assumptions!$B17/1000</f>
        <v>1.92</v>
      </c>
      <c r="P46" s="103">
        <f>Assumptions!$B17/1000</f>
        <v>1.92</v>
      </c>
      <c r="Q46" s="28"/>
      <c r="R46" s="200" t="s">
        <v>853</v>
      </c>
      <c r="S46" s="28"/>
      <c r="T46" s="28"/>
      <c r="U46" s="28"/>
      <c r="V46" s="28"/>
      <c r="W46" s="28"/>
      <c r="X46" s="28"/>
      <c r="Y46" s="28"/>
      <c r="Z46" s="28"/>
      <c r="AA46" s="28"/>
      <c r="AB46" s="28"/>
      <c r="AC46" s="28"/>
      <c r="AD46" s="28"/>
      <c r="AE46" s="28" t="s">
        <v>841</v>
      </c>
      <c r="AF46" s="26" t="s">
        <v>842</v>
      </c>
      <c r="AG46" s="28"/>
      <c r="AH46" s="28" t="s">
        <v>844</v>
      </c>
      <c r="AI46" s="172" t="s">
        <v>834</v>
      </c>
      <c r="AJ46" s="28" t="s">
        <v>845</v>
      </c>
      <c r="AK46" s="26" t="s">
        <v>840</v>
      </c>
    </row>
    <row r="47" spans="1:37" ht="81" customHeight="1" thickBot="1" x14ac:dyDescent="0.4">
      <c r="A47" s="23" t="s">
        <v>724</v>
      </c>
      <c r="B47" s="23" t="s">
        <v>732</v>
      </c>
      <c r="C47" s="29" t="s">
        <v>149</v>
      </c>
      <c r="D47" s="97" t="s">
        <v>183</v>
      </c>
      <c r="E47" s="29" t="s">
        <v>182</v>
      </c>
      <c r="F47" s="26" t="s">
        <v>762</v>
      </c>
      <c r="G47" s="103">
        <f>Assumptions!$B18/1000</f>
        <v>2.016</v>
      </c>
      <c r="H47" s="103">
        <f>Assumptions!$B18/1000</f>
        <v>2.016</v>
      </c>
      <c r="I47" s="103">
        <f>Assumptions!$B18/1000</f>
        <v>2.016</v>
      </c>
      <c r="J47" s="103">
        <f>Assumptions!$B18/1000</f>
        <v>2.016</v>
      </c>
      <c r="K47" s="103">
        <f>Assumptions!$B18/1000</f>
        <v>2.016</v>
      </c>
      <c r="L47" s="103">
        <f>Assumptions!$B18/1000</f>
        <v>2.016</v>
      </c>
      <c r="M47" s="103">
        <f>Assumptions!$B18/1000</f>
        <v>2.016</v>
      </c>
      <c r="N47" s="103">
        <f>Assumptions!$B18/1000</f>
        <v>2.016</v>
      </c>
      <c r="O47" s="103">
        <f>Assumptions!$B18/1000</f>
        <v>2.016</v>
      </c>
      <c r="P47" s="103">
        <f>Assumptions!$B18/1000</f>
        <v>2.016</v>
      </c>
      <c r="Q47" s="28"/>
      <c r="R47" s="203"/>
      <c r="S47" s="28"/>
      <c r="T47" s="28"/>
      <c r="U47" s="28"/>
      <c r="V47" s="28"/>
      <c r="W47" s="28"/>
      <c r="X47" s="28"/>
      <c r="Y47" s="28"/>
      <c r="Z47" s="28"/>
      <c r="AA47" s="28"/>
      <c r="AB47" s="28"/>
      <c r="AC47" s="28"/>
      <c r="AD47" s="28"/>
      <c r="AE47" s="28" t="s">
        <v>841</v>
      </c>
      <c r="AF47" s="26" t="s">
        <v>842</v>
      </c>
      <c r="AG47" s="28"/>
      <c r="AH47" s="28" t="s">
        <v>843</v>
      </c>
      <c r="AI47" s="172" t="s">
        <v>834</v>
      </c>
      <c r="AJ47" s="28"/>
      <c r="AK47" s="26" t="s">
        <v>846</v>
      </c>
    </row>
    <row r="48" spans="1:37" ht="31" customHeight="1" thickBot="1" x14ac:dyDescent="0.4">
      <c r="A48" s="23" t="s">
        <v>724</v>
      </c>
      <c r="B48" s="23" t="s">
        <v>731</v>
      </c>
      <c r="C48" s="29" t="s">
        <v>151</v>
      </c>
      <c r="D48" s="97" t="s">
        <v>208</v>
      </c>
      <c r="E48" s="29" t="s">
        <v>182</v>
      </c>
      <c r="F48" s="26" t="s">
        <v>762</v>
      </c>
      <c r="G48" s="103">
        <f>Assumptions!$B19/1000</f>
        <v>1.0119</v>
      </c>
      <c r="H48" s="103">
        <f>Assumptions!$B19/1000</f>
        <v>1.0119</v>
      </c>
      <c r="I48" s="103">
        <f>Assumptions!$B19/1000</f>
        <v>1.0119</v>
      </c>
      <c r="J48" s="103">
        <f>Assumptions!$B19/1000</f>
        <v>1.0119</v>
      </c>
      <c r="K48" s="103">
        <f>Assumptions!$B19/1000</f>
        <v>1.0119</v>
      </c>
      <c r="L48" s="103">
        <f>Assumptions!$B19/1000</f>
        <v>1.0119</v>
      </c>
      <c r="M48" s="103">
        <f>Assumptions!$B19/1000</f>
        <v>1.0119</v>
      </c>
      <c r="N48" s="103">
        <f>Assumptions!$B19/1000</f>
        <v>1.0119</v>
      </c>
      <c r="O48" s="103">
        <f>Assumptions!$B19/1000</f>
        <v>1.0119</v>
      </c>
      <c r="P48" s="103">
        <f>Assumptions!$B19/1000</f>
        <v>1.0119</v>
      </c>
      <c r="Q48" s="28"/>
      <c r="R48" s="203"/>
      <c r="S48" s="28"/>
      <c r="T48" s="28"/>
      <c r="U48" s="28"/>
      <c r="V48" s="28"/>
      <c r="W48" s="28"/>
      <c r="X48" s="28"/>
      <c r="Y48" s="28"/>
      <c r="Z48" s="28"/>
      <c r="AA48" s="28"/>
      <c r="AB48" s="28"/>
      <c r="AC48" s="28"/>
      <c r="AD48" s="28"/>
      <c r="AE48" s="28" t="s">
        <v>841</v>
      </c>
      <c r="AF48" s="26" t="s">
        <v>842</v>
      </c>
      <c r="AG48" s="28"/>
      <c r="AH48" s="28" t="s">
        <v>843</v>
      </c>
      <c r="AI48" s="172" t="s">
        <v>834</v>
      </c>
      <c r="AJ48" s="28"/>
      <c r="AK48" s="26" t="s">
        <v>846</v>
      </c>
    </row>
    <row r="49" spans="1:37" ht="40" customHeight="1" thickBot="1" x14ac:dyDescent="0.4">
      <c r="A49" s="23" t="s">
        <v>724</v>
      </c>
      <c r="B49" s="23" t="s">
        <v>729</v>
      </c>
      <c r="C49" s="29" t="s">
        <v>153</v>
      </c>
      <c r="D49" s="97" t="s">
        <v>730</v>
      </c>
      <c r="E49" s="29" t="s">
        <v>182</v>
      </c>
      <c r="F49" s="26" t="s">
        <v>762</v>
      </c>
      <c r="G49" s="103">
        <f>Assumptions!$B20/1000</f>
        <v>0.8075</v>
      </c>
      <c r="H49" s="103">
        <f>Assumptions!$B20/1000</f>
        <v>0.8075</v>
      </c>
      <c r="I49" s="103">
        <f>Assumptions!$B20/1000</f>
        <v>0.8075</v>
      </c>
      <c r="J49" s="103">
        <f>Assumptions!$B20/1000</f>
        <v>0.8075</v>
      </c>
      <c r="K49" s="103">
        <f>Assumptions!$B20/1000</f>
        <v>0.8075</v>
      </c>
      <c r="L49" s="103">
        <f>Assumptions!$B20/1000</f>
        <v>0.8075</v>
      </c>
      <c r="M49" s="103">
        <f>Assumptions!$B20/1000</f>
        <v>0.8075</v>
      </c>
      <c r="N49" s="103">
        <f>Assumptions!$B20/1000</f>
        <v>0.8075</v>
      </c>
      <c r="O49" s="103">
        <f>Assumptions!$B20/1000</f>
        <v>0.8075</v>
      </c>
      <c r="P49" s="103">
        <f>Assumptions!$B20/1000</f>
        <v>0.8075</v>
      </c>
      <c r="Q49" s="28"/>
      <c r="R49" s="203"/>
      <c r="S49" s="28"/>
      <c r="T49" s="28"/>
      <c r="U49" s="28"/>
      <c r="V49" s="28"/>
      <c r="W49" s="28"/>
      <c r="X49" s="28"/>
      <c r="Y49" s="28"/>
      <c r="Z49" s="28"/>
      <c r="AA49" s="28"/>
      <c r="AB49" s="28"/>
      <c r="AC49" s="28"/>
      <c r="AD49" s="28"/>
      <c r="AE49" s="28" t="s">
        <v>841</v>
      </c>
      <c r="AF49" s="26" t="s">
        <v>842</v>
      </c>
      <c r="AG49" s="28"/>
      <c r="AH49" s="28" t="s">
        <v>843</v>
      </c>
      <c r="AI49" s="172" t="s">
        <v>834</v>
      </c>
      <c r="AJ49" s="28"/>
      <c r="AK49" s="26" t="s">
        <v>846</v>
      </c>
    </row>
    <row r="50" spans="1:37" ht="40" customHeight="1" thickBot="1" x14ac:dyDescent="0.4">
      <c r="A50" s="23" t="s">
        <v>724</v>
      </c>
      <c r="B50" s="23" t="s">
        <v>728</v>
      </c>
      <c r="C50" s="29" t="s">
        <v>152</v>
      </c>
      <c r="D50" s="97" t="s">
        <v>184</v>
      </c>
      <c r="E50" s="29" t="s">
        <v>182</v>
      </c>
      <c r="F50" s="26" t="s">
        <v>762</v>
      </c>
      <c r="G50" s="103">
        <f>Assumptions!$B21/1000</f>
        <v>0.18409999999999999</v>
      </c>
      <c r="H50" s="103">
        <f>Assumptions!$B21/1000</f>
        <v>0.18409999999999999</v>
      </c>
      <c r="I50" s="103">
        <f>Assumptions!$B21/1000</f>
        <v>0.18409999999999999</v>
      </c>
      <c r="J50" s="103">
        <f>Assumptions!$B21/1000</f>
        <v>0.18409999999999999</v>
      </c>
      <c r="K50" s="103">
        <f>Assumptions!$B21/1000</f>
        <v>0.18409999999999999</v>
      </c>
      <c r="L50" s="103">
        <f>Assumptions!$B21/1000</f>
        <v>0.18409999999999999</v>
      </c>
      <c r="M50" s="103">
        <f>Assumptions!$B21/1000</f>
        <v>0.18409999999999999</v>
      </c>
      <c r="N50" s="103">
        <f>Assumptions!$B21/1000</f>
        <v>0.18409999999999999</v>
      </c>
      <c r="O50" s="103">
        <f>Assumptions!$B21/1000</f>
        <v>0.18409999999999999</v>
      </c>
      <c r="P50" s="103">
        <f>Assumptions!$B21/1000</f>
        <v>0.18409999999999999</v>
      </c>
      <c r="Q50" s="28"/>
      <c r="R50" s="203"/>
      <c r="S50" s="28"/>
      <c r="T50" s="28"/>
      <c r="U50" s="28"/>
      <c r="V50" s="28"/>
      <c r="W50" s="28"/>
      <c r="X50" s="28"/>
      <c r="Y50" s="28"/>
      <c r="Z50" s="28"/>
      <c r="AA50" s="28"/>
      <c r="AB50" s="28"/>
      <c r="AC50" s="28"/>
      <c r="AD50" s="28"/>
      <c r="AE50" s="28" t="s">
        <v>841</v>
      </c>
      <c r="AF50" s="26" t="s">
        <v>842</v>
      </c>
      <c r="AG50" s="28"/>
      <c r="AH50" s="28" t="s">
        <v>843</v>
      </c>
      <c r="AI50" s="172" t="s">
        <v>834</v>
      </c>
      <c r="AJ50" s="28"/>
      <c r="AK50" s="26" t="s">
        <v>846</v>
      </c>
    </row>
    <row r="51" spans="1:37" ht="32.5" customHeight="1" thickBot="1" x14ac:dyDescent="0.4">
      <c r="A51" s="23" t="s">
        <v>724</v>
      </c>
      <c r="B51" s="23" t="s">
        <v>726</v>
      </c>
      <c r="C51" s="29" t="s">
        <v>337</v>
      </c>
      <c r="D51" s="97" t="s">
        <v>342</v>
      </c>
      <c r="E51" s="29" t="s">
        <v>182</v>
      </c>
      <c r="F51" s="26" t="s">
        <v>762</v>
      </c>
      <c r="G51" s="103">
        <f>Assumptions!$B22/1000</f>
        <v>0.1694</v>
      </c>
      <c r="H51" s="103">
        <f>Assumptions!$B22/1000</f>
        <v>0.1694</v>
      </c>
      <c r="I51" s="103">
        <f>Assumptions!$B22/1000</f>
        <v>0.1694</v>
      </c>
      <c r="J51" s="103">
        <f>Assumptions!$B22/1000</f>
        <v>0.1694</v>
      </c>
      <c r="K51" s="103">
        <f>Assumptions!$B22/1000</f>
        <v>0.1694</v>
      </c>
      <c r="L51" s="103">
        <f>Assumptions!$B22/1000</f>
        <v>0.1694</v>
      </c>
      <c r="M51" s="103">
        <f>Assumptions!$B22/1000</f>
        <v>0.1694</v>
      </c>
      <c r="N51" s="103">
        <f>Assumptions!$B22/1000</f>
        <v>0.1694</v>
      </c>
      <c r="O51" s="103">
        <f>Assumptions!$B22/1000</f>
        <v>0.1694</v>
      </c>
      <c r="P51" s="103">
        <f>Assumptions!$B22/1000</f>
        <v>0.1694</v>
      </c>
      <c r="Q51" s="28"/>
      <c r="R51" s="203"/>
      <c r="S51" s="28"/>
      <c r="T51" s="28"/>
      <c r="U51" s="28"/>
      <c r="V51" s="28"/>
      <c r="W51" s="28"/>
      <c r="X51" s="28"/>
      <c r="Y51" s="28"/>
      <c r="Z51" s="28"/>
      <c r="AA51" s="28"/>
      <c r="AB51" s="28"/>
      <c r="AC51" s="28"/>
      <c r="AD51" s="28"/>
      <c r="AE51" s="28" t="s">
        <v>841</v>
      </c>
      <c r="AF51" s="26" t="s">
        <v>842</v>
      </c>
      <c r="AG51" s="28"/>
      <c r="AH51" s="28" t="s">
        <v>843</v>
      </c>
      <c r="AI51" s="172" t="s">
        <v>834</v>
      </c>
      <c r="AJ51" s="28"/>
      <c r="AK51" s="26" t="s">
        <v>846</v>
      </c>
    </row>
    <row r="52" spans="1:37" ht="32.5" customHeight="1" thickBot="1" x14ac:dyDescent="0.4">
      <c r="A52" s="23" t="s">
        <v>724</v>
      </c>
      <c r="B52" s="23" t="s">
        <v>727</v>
      </c>
      <c r="C52" s="29" t="s">
        <v>338</v>
      </c>
      <c r="D52" s="97" t="s">
        <v>343</v>
      </c>
      <c r="E52" s="29" t="s">
        <v>182</v>
      </c>
      <c r="F52" s="26" t="s">
        <v>762</v>
      </c>
      <c r="G52" s="103">
        <f>Assumptions!$B23/1000</f>
        <v>0.48130000000000001</v>
      </c>
      <c r="H52" s="103">
        <f>Assumptions!$B23/1000</f>
        <v>0.48130000000000001</v>
      </c>
      <c r="I52" s="103">
        <f>Assumptions!$B23/1000</f>
        <v>0.48130000000000001</v>
      </c>
      <c r="J52" s="103">
        <f>Assumptions!$B23/1000</f>
        <v>0.48130000000000001</v>
      </c>
      <c r="K52" s="103">
        <f>Assumptions!$B23/1000</f>
        <v>0.48130000000000001</v>
      </c>
      <c r="L52" s="103">
        <f>Assumptions!$B23/1000</f>
        <v>0.48130000000000001</v>
      </c>
      <c r="M52" s="103">
        <f>Assumptions!$B23/1000</f>
        <v>0.48130000000000001</v>
      </c>
      <c r="N52" s="103">
        <f>Assumptions!$B23/1000</f>
        <v>0.48130000000000001</v>
      </c>
      <c r="O52" s="103">
        <f>Assumptions!$B23/1000</f>
        <v>0.48130000000000001</v>
      </c>
      <c r="P52" s="103">
        <f>Assumptions!$B23/1000</f>
        <v>0.48130000000000001</v>
      </c>
      <c r="Q52" s="28"/>
      <c r="R52" s="204"/>
      <c r="S52" s="28"/>
      <c r="T52" s="28"/>
      <c r="U52" s="28"/>
      <c r="V52" s="28"/>
      <c r="W52" s="28"/>
      <c r="X52" s="28"/>
      <c r="Y52" s="28"/>
      <c r="Z52" s="28"/>
      <c r="AA52" s="28"/>
      <c r="AB52" s="28"/>
      <c r="AC52" s="28"/>
      <c r="AD52" s="28"/>
      <c r="AE52" s="28" t="s">
        <v>841</v>
      </c>
      <c r="AF52" s="26" t="s">
        <v>842</v>
      </c>
      <c r="AG52" s="28"/>
      <c r="AH52" s="28" t="s">
        <v>843</v>
      </c>
      <c r="AI52" s="172" t="s">
        <v>834</v>
      </c>
      <c r="AJ52" s="28"/>
      <c r="AK52" s="26" t="s">
        <v>846</v>
      </c>
    </row>
    <row r="53" spans="1:37" ht="13" thickBot="1" x14ac:dyDescent="0.4"/>
    <row r="54" spans="1:37" ht="26.15" customHeight="1" thickBot="1" x14ac:dyDescent="0.4">
      <c r="A54" s="112" t="s">
        <v>686</v>
      </c>
      <c r="B54" s="113"/>
      <c r="C54" s="113"/>
      <c r="D54" s="113"/>
      <c r="E54" s="113"/>
      <c r="F54" s="113"/>
      <c r="G54" s="113"/>
      <c r="H54" s="113"/>
      <c r="I54" s="113"/>
      <c r="J54" s="113"/>
      <c r="K54" s="113"/>
      <c r="L54" s="113"/>
      <c r="M54" s="113"/>
      <c r="N54" s="113"/>
      <c r="O54" s="113"/>
      <c r="P54" s="113"/>
      <c r="Q54" s="113"/>
      <c r="R54" s="113"/>
      <c r="S54" s="114"/>
      <c r="T54" s="114"/>
      <c r="U54" s="114"/>
      <c r="V54" s="114"/>
      <c r="W54" s="114"/>
      <c r="X54" s="114"/>
      <c r="Y54" s="114"/>
      <c r="Z54" s="114"/>
      <c r="AA54" s="114"/>
      <c r="AB54" s="114"/>
      <c r="AC54" s="114"/>
      <c r="AD54" s="114"/>
      <c r="AE54" s="114"/>
      <c r="AF54" s="114"/>
      <c r="AG54" s="115"/>
      <c r="AH54" s="115"/>
      <c r="AI54" s="113"/>
      <c r="AJ54" s="113"/>
      <c r="AK54" s="115"/>
    </row>
    <row r="55" spans="1:37" ht="45" customHeight="1" thickBot="1" x14ac:dyDescent="0.4">
      <c r="A55" s="23" t="s">
        <v>466</v>
      </c>
      <c r="B55" s="23" t="s">
        <v>467</v>
      </c>
      <c r="C55" s="29" t="s">
        <v>150</v>
      </c>
      <c r="D55" s="97" t="s">
        <v>185</v>
      </c>
      <c r="E55" s="29" t="s">
        <v>175</v>
      </c>
      <c r="F55" s="26" t="s">
        <v>73</v>
      </c>
      <c r="G55" s="91">
        <v>0</v>
      </c>
      <c r="H55" s="91">
        <v>0</v>
      </c>
      <c r="I55" s="91">
        <v>0</v>
      </c>
      <c r="J55" s="91">
        <v>0</v>
      </c>
      <c r="K55" s="91">
        <v>0</v>
      </c>
      <c r="L55" s="91">
        <v>0</v>
      </c>
      <c r="M55" s="91">
        <v>0</v>
      </c>
      <c r="N55" s="91">
        <v>0</v>
      </c>
      <c r="O55" s="91">
        <v>0</v>
      </c>
      <c r="P55" s="91">
        <v>0</v>
      </c>
      <c r="Q55" s="28"/>
      <c r="R55" s="28"/>
      <c r="S55" s="28"/>
      <c r="T55" s="28"/>
      <c r="U55" s="28"/>
      <c r="V55" s="28"/>
      <c r="W55" s="28"/>
      <c r="X55" s="28"/>
      <c r="Y55" s="28"/>
      <c r="Z55" s="28"/>
      <c r="AA55" s="28"/>
      <c r="AB55" s="28"/>
      <c r="AC55" s="28"/>
      <c r="AD55" s="28"/>
      <c r="AE55" s="28"/>
      <c r="AF55" s="26"/>
      <c r="AG55" s="28"/>
      <c r="AH55" s="28"/>
      <c r="AI55" s="28"/>
      <c r="AJ55" s="28"/>
      <c r="AK55" s="26"/>
    </row>
    <row r="56" spans="1:37" ht="40.5" customHeight="1" thickBot="1" x14ac:dyDescent="0.4">
      <c r="A56" s="23" t="s">
        <v>466</v>
      </c>
      <c r="B56" s="23" t="s">
        <v>468</v>
      </c>
      <c r="C56" s="29" t="s">
        <v>149</v>
      </c>
      <c r="D56" s="97" t="s">
        <v>178</v>
      </c>
      <c r="E56" s="29" t="s">
        <v>175</v>
      </c>
      <c r="F56" s="26" t="s">
        <v>73</v>
      </c>
      <c r="G56" s="91">
        <v>1</v>
      </c>
      <c r="H56" s="91">
        <v>1</v>
      </c>
      <c r="I56" s="91">
        <v>1</v>
      </c>
      <c r="J56" s="91">
        <v>1</v>
      </c>
      <c r="K56" s="91">
        <v>1</v>
      </c>
      <c r="L56" s="91">
        <v>1</v>
      </c>
      <c r="M56" s="91">
        <v>1</v>
      </c>
      <c r="N56" s="91">
        <v>1</v>
      </c>
      <c r="O56" s="91">
        <v>1</v>
      </c>
      <c r="P56" s="91">
        <v>1</v>
      </c>
      <c r="Q56" s="28"/>
      <c r="R56" s="164" t="s">
        <v>811</v>
      </c>
      <c r="S56" s="28"/>
      <c r="T56" s="28"/>
      <c r="U56" s="28"/>
      <c r="V56" s="28"/>
      <c r="W56" s="28"/>
      <c r="X56" s="28"/>
      <c r="Y56" s="28"/>
      <c r="Z56" s="28"/>
      <c r="AA56" s="28"/>
      <c r="AB56" s="28"/>
      <c r="AC56" s="28"/>
      <c r="AD56" s="28"/>
      <c r="AE56" s="28" t="s">
        <v>831</v>
      </c>
      <c r="AF56" s="26" t="s">
        <v>842</v>
      </c>
      <c r="AG56" s="28"/>
      <c r="AH56" s="28" t="s">
        <v>843</v>
      </c>
      <c r="AI56" s="172" t="s">
        <v>834</v>
      </c>
      <c r="AJ56" s="28"/>
      <c r="AK56" s="26" t="s">
        <v>846</v>
      </c>
    </row>
    <row r="57" spans="1:37" ht="31" customHeight="1" thickBot="1" x14ac:dyDescent="0.4">
      <c r="A57" s="23" t="s">
        <v>466</v>
      </c>
      <c r="B57" s="23" t="s">
        <v>469</v>
      </c>
      <c r="C57" s="29" t="s">
        <v>151</v>
      </c>
      <c r="D57" s="97" t="s">
        <v>179</v>
      </c>
      <c r="E57" s="29" t="s">
        <v>175</v>
      </c>
      <c r="F57" s="26" t="s">
        <v>73</v>
      </c>
      <c r="G57" s="91">
        <v>0</v>
      </c>
      <c r="H57" s="91">
        <v>0</v>
      </c>
      <c r="I57" s="91">
        <v>0</v>
      </c>
      <c r="J57" s="91">
        <v>0</v>
      </c>
      <c r="K57" s="91">
        <v>0</v>
      </c>
      <c r="L57" s="91">
        <v>0</v>
      </c>
      <c r="M57" s="91">
        <v>0</v>
      </c>
      <c r="N57" s="91">
        <v>0</v>
      </c>
      <c r="O57" s="91">
        <v>0</v>
      </c>
      <c r="P57" s="91">
        <v>0</v>
      </c>
      <c r="Q57" s="28"/>
      <c r="R57" s="28"/>
      <c r="S57" s="28"/>
      <c r="T57" s="28"/>
      <c r="U57" s="28"/>
      <c r="V57" s="28"/>
      <c r="W57" s="28"/>
      <c r="X57" s="28"/>
      <c r="Y57" s="28"/>
      <c r="Z57" s="28"/>
      <c r="AA57" s="28"/>
      <c r="AB57" s="28"/>
      <c r="AC57" s="28"/>
      <c r="AD57" s="28"/>
      <c r="AE57" s="28"/>
      <c r="AF57" s="26"/>
      <c r="AG57" s="28"/>
      <c r="AH57" s="28"/>
      <c r="AI57" s="28"/>
      <c r="AJ57" s="28"/>
      <c r="AK57" s="26"/>
    </row>
    <row r="58" spans="1:37" ht="40" customHeight="1" thickBot="1" x14ac:dyDescent="0.4">
      <c r="A58" s="23" t="s">
        <v>466</v>
      </c>
      <c r="B58" s="23" t="s">
        <v>470</v>
      </c>
      <c r="C58" s="29" t="s">
        <v>153</v>
      </c>
      <c r="D58" s="97" t="s">
        <v>180</v>
      </c>
      <c r="E58" s="29" t="s">
        <v>175</v>
      </c>
      <c r="F58" s="26" t="s">
        <v>73</v>
      </c>
      <c r="G58" s="91">
        <v>0</v>
      </c>
      <c r="H58" s="91">
        <v>0</v>
      </c>
      <c r="I58" s="91">
        <v>0</v>
      </c>
      <c r="J58" s="91">
        <v>0</v>
      </c>
      <c r="K58" s="91">
        <v>0</v>
      </c>
      <c r="L58" s="91">
        <v>0</v>
      </c>
      <c r="M58" s="91">
        <v>0</v>
      </c>
      <c r="N58" s="91">
        <v>0</v>
      </c>
      <c r="O58" s="91">
        <v>0</v>
      </c>
      <c r="P58" s="91">
        <v>0</v>
      </c>
      <c r="Q58" s="28"/>
      <c r="R58" s="28"/>
      <c r="S58" s="28"/>
      <c r="T58" s="28"/>
      <c r="U58" s="28"/>
      <c r="V58" s="28"/>
      <c r="W58" s="28"/>
      <c r="X58" s="28"/>
      <c r="Y58" s="28"/>
      <c r="Z58" s="28"/>
      <c r="AA58" s="28"/>
      <c r="AB58" s="28"/>
      <c r="AC58" s="28"/>
      <c r="AD58" s="28"/>
      <c r="AE58" s="28"/>
      <c r="AF58" s="26"/>
      <c r="AG58" s="28"/>
      <c r="AH58" s="28"/>
      <c r="AI58" s="28"/>
      <c r="AJ58" s="28"/>
      <c r="AK58" s="26"/>
    </row>
    <row r="59" spans="1:37" ht="40" customHeight="1" thickBot="1" x14ac:dyDescent="0.4">
      <c r="A59" s="23" t="s">
        <v>466</v>
      </c>
      <c r="B59" s="23" t="s">
        <v>471</v>
      </c>
      <c r="C59" s="29" t="s">
        <v>152</v>
      </c>
      <c r="D59" s="97" t="s">
        <v>181</v>
      </c>
      <c r="E59" s="29" t="s">
        <v>175</v>
      </c>
      <c r="F59" s="26" t="s">
        <v>73</v>
      </c>
      <c r="G59" s="91">
        <v>0</v>
      </c>
      <c r="H59" s="91">
        <v>0</v>
      </c>
      <c r="I59" s="91">
        <v>0</v>
      </c>
      <c r="J59" s="91">
        <v>0</v>
      </c>
      <c r="K59" s="91">
        <v>0</v>
      </c>
      <c r="L59" s="91">
        <v>0</v>
      </c>
      <c r="M59" s="91">
        <v>0</v>
      </c>
      <c r="N59" s="91">
        <v>0</v>
      </c>
      <c r="O59" s="91">
        <v>0</v>
      </c>
      <c r="P59" s="91">
        <v>0</v>
      </c>
      <c r="Q59" s="28"/>
      <c r="R59" s="28"/>
      <c r="S59" s="28"/>
      <c r="T59" s="28"/>
      <c r="U59" s="28"/>
      <c r="V59" s="28"/>
      <c r="W59" s="28"/>
      <c r="X59" s="28"/>
      <c r="Y59" s="28"/>
      <c r="Z59" s="28"/>
      <c r="AA59" s="28"/>
      <c r="AB59" s="28"/>
      <c r="AC59" s="28"/>
      <c r="AD59" s="28"/>
      <c r="AE59" s="28"/>
      <c r="AF59" s="26"/>
      <c r="AG59" s="28"/>
      <c r="AH59" s="28"/>
      <c r="AI59" s="28"/>
      <c r="AJ59" s="28"/>
      <c r="AK59" s="26"/>
    </row>
    <row r="60" spans="1:37" ht="13" thickBot="1" x14ac:dyDescent="0.4"/>
    <row r="61" spans="1:37" ht="26.15" customHeight="1" thickBot="1" x14ac:dyDescent="0.4">
      <c r="A61" s="112" t="s">
        <v>689</v>
      </c>
      <c r="B61" s="113"/>
      <c r="C61" s="113"/>
      <c r="D61" s="113"/>
      <c r="E61" s="113"/>
      <c r="F61" s="113"/>
      <c r="G61" s="113"/>
      <c r="H61" s="113"/>
      <c r="I61" s="113"/>
      <c r="J61" s="113"/>
      <c r="K61" s="113"/>
      <c r="L61" s="113"/>
      <c r="M61" s="113"/>
      <c r="N61" s="113"/>
      <c r="O61" s="113"/>
      <c r="P61" s="113"/>
      <c r="Q61" s="113"/>
      <c r="R61" s="113"/>
      <c r="S61" s="114"/>
      <c r="T61" s="114"/>
      <c r="U61" s="114"/>
      <c r="V61" s="114"/>
      <c r="W61" s="114"/>
      <c r="X61" s="114"/>
      <c r="Y61" s="114"/>
      <c r="Z61" s="114"/>
      <c r="AA61" s="114"/>
      <c r="AB61" s="114"/>
      <c r="AC61" s="114"/>
      <c r="AD61" s="114"/>
      <c r="AE61" s="114"/>
      <c r="AF61" s="114"/>
      <c r="AG61" s="115"/>
      <c r="AH61" s="115"/>
      <c r="AI61" s="113"/>
      <c r="AJ61" s="113"/>
      <c r="AK61" s="115"/>
    </row>
    <row r="62" spans="1:37" ht="81.75" customHeight="1" thickBot="1" x14ac:dyDescent="0.4">
      <c r="A62" s="29" t="s">
        <v>472</v>
      </c>
      <c r="B62" s="29" t="s">
        <v>473</v>
      </c>
      <c r="C62" s="29" t="s">
        <v>150</v>
      </c>
      <c r="D62" s="97" t="s">
        <v>189</v>
      </c>
      <c r="E62" s="29" t="s">
        <v>157</v>
      </c>
      <c r="F62" s="26" t="s">
        <v>761</v>
      </c>
      <c r="G62" s="144">
        <f>Assumptions!$B$24</f>
        <v>3.5</v>
      </c>
      <c r="H62" s="144">
        <f>Assumptions!$B$24</f>
        <v>3.5</v>
      </c>
      <c r="I62" s="144">
        <f>Assumptions!$B$24</f>
        <v>3.5</v>
      </c>
      <c r="J62" s="144">
        <f>Assumptions!$B$24</f>
        <v>3.5</v>
      </c>
      <c r="K62" s="144">
        <f>Assumptions!$B$24</f>
        <v>3.5</v>
      </c>
      <c r="L62" s="144">
        <f>Assumptions!$B$24</f>
        <v>3.5</v>
      </c>
      <c r="M62" s="144">
        <f>Assumptions!$B$24</f>
        <v>3.5</v>
      </c>
      <c r="N62" s="144">
        <f>Assumptions!$B$24</f>
        <v>3.5</v>
      </c>
      <c r="O62" s="144">
        <f>Assumptions!$B$24</f>
        <v>3.5</v>
      </c>
      <c r="P62" s="144">
        <f>Assumptions!$B$24</f>
        <v>3.5</v>
      </c>
      <c r="Q62" s="28"/>
      <c r="R62" s="164" t="s">
        <v>812</v>
      </c>
      <c r="S62" s="130"/>
      <c r="T62" s="129"/>
      <c r="U62" s="129"/>
      <c r="V62" s="129"/>
      <c r="W62" s="129"/>
      <c r="X62" s="129"/>
      <c r="Y62" s="129"/>
      <c r="Z62" s="129"/>
      <c r="AA62" s="129"/>
      <c r="AB62" s="129"/>
      <c r="AC62" s="129"/>
      <c r="AD62" s="129"/>
      <c r="AE62" s="28" t="s">
        <v>831</v>
      </c>
      <c r="AF62" s="26" t="s">
        <v>847</v>
      </c>
      <c r="AG62" s="28"/>
      <c r="AH62" s="28" t="s">
        <v>844</v>
      </c>
      <c r="AI62" s="172" t="s">
        <v>848</v>
      </c>
      <c r="AJ62" s="28" t="s">
        <v>845</v>
      </c>
      <c r="AK62" s="26" t="s">
        <v>840</v>
      </c>
    </row>
    <row r="63" spans="1:37" ht="81.75" customHeight="1" thickBot="1" x14ac:dyDescent="0.4">
      <c r="A63" s="29" t="s">
        <v>472</v>
      </c>
      <c r="B63" s="29" t="s">
        <v>474</v>
      </c>
      <c r="C63" s="29" t="s">
        <v>149</v>
      </c>
      <c r="D63" s="97" t="s">
        <v>190</v>
      </c>
      <c r="E63" s="29" t="s">
        <v>157</v>
      </c>
      <c r="F63" s="26" t="s">
        <v>761</v>
      </c>
      <c r="G63" s="144" t="s">
        <v>760</v>
      </c>
      <c r="H63" s="144" t="s">
        <v>760</v>
      </c>
      <c r="I63" s="144" t="s">
        <v>760</v>
      </c>
      <c r="J63" s="144" t="s">
        <v>760</v>
      </c>
      <c r="K63" s="144" t="s">
        <v>760</v>
      </c>
      <c r="L63" s="144" t="s">
        <v>760</v>
      </c>
      <c r="M63" s="144" t="s">
        <v>760</v>
      </c>
      <c r="N63" s="144" t="s">
        <v>760</v>
      </c>
      <c r="O63" s="144" t="s">
        <v>760</v>
      </c>
      <c r="P63" s="144" t="s">
        <v>760</v>
      </c>
      <c r="Q63" s="28"/>
      <c r="R63" s="28"/>
      <c r="S63" s="130"/>
      <c r="T63" s="129"/>
      <c r="U63" s="129"/>
      <c r="V63" s="129"/>
      <c r="W63" s="129"/>
      <c r="X63" s="129"/>
      <c r="Y63" s="129"/>
      <c r="Z63" s="129"/>
      <c r="AA63" s="129"/>
      <c r="AB63" s="129"/>
      <c r="AC63" s="129"/>
      <c r="AD63" s="129"/>
      <c r="AE63" s="28"/>
      <c r="AF63" s="26"/>
      <c r="AG63" s="28"/>
      <c r="AH63" s="28"/>
      <c r="AI63" s="28"/>
      <c r="AJ63" s="28"/>
      <c r="AK63" s="26"/>
    </row>
    <row r="64" spans="1:37" ht="42.65" customHeight="1" thickBot="1" x14ac:dyDescent="0.4">
      <c r="A64" s="29" t="s">
        <v>472</v>
      </c>
      <c r="B64" s="29" t="s">
        <v>475</v>
      </c>
      <c r="C64" s="29" t="s">
        <v>151</v>
      </c>
      <c r="D64" s="97" t="s">
        <v>191</v>
      </c>
      <c r="E64" s="29" t="s">
        <v>157</v>
      </c>
      <c r="F64" s="26" t="s">
        <v>761</v>
      </c>
      <c r="G64" s="144" t="s">
        <v>760</v>
      </c>
      <c r="H64" s="144" t="s">
        <v>760</v>
      </c>
      <c r="I64" s="144" t="s">
        <v>760</v>
      </c>
      <c r="J64" s="144" t="s">
        <v>760</v>
      </c>
      <c r="K64" s="144" t="s">
        <v>760</v>
      </c>
      <c r="L64" s="144" t="s">
        <v>760</v>
      </c>
      <c r="M64" s="144" t="s">
        <v>760</v>
      </c>
      <c r="N64" s="144" t="s">
        <v>760</v>
      </c>
      <c r="O64" s="144" t="s">
        <v>760</v>
      </c>
      <c r="P64" s="144" t="s">
        <v>760</v>
      </c>
      <c r="Q64" s="28"/>
      <c r="R64" s="28"/>
      <c r="S64" s="130"/>
      <c r="T64" s="129"/>
      <c r="U64" s="129"/>
      <c r="V64" s="129"/>
      <c r="W64" s="129"/>
      <c r="X64" s="129"/>
      <c r="Y64" s="129"/>
      <c r="Z64" s="129"/>
      <c r="AA64" s="129"/>
      <c r="AB64" s="129"/>
      <c r="AC64" s="129"/>
      <c r="AD64" s="129"/>
      <c r="AE64" s="28"/>
      <c r="AF64" s="26"/>
      <c r="AG64" s="28"/>
      <c r="AH64" s="28"/>
      <c r="AI64" s="28"/>
      <c r="AJ64" s="28"/>
      <c r="AK64" s="26"/>
    </row>
    <row r="65" spans="1:37" ht="48" customHeight="1" thickBot="1" x14ac:dyDescent="0.4">
      <c r="A65" s="29" t="s">
        <v>472</v>
      </c>
      <c r="B65" s="29" t="s">
        <v>476</v>
      </c>
      <c r="C65" s="29" t="s">
        <v>153</v>
      </c>
      <c r="D65" s="97" t="s">
        <v>192</v>
      </c>
      <c r="E65" s="29" t="s">
        <v>157</v>
      </c>
      <c r="F65" s="26" t="s">
        <v>761</v>
      </c>
      <c r="G65" s="144" t="s">
        <v>760</v>
      </c>
      <c r="H65" s="144" t="s">
        <v>760</v>
      </c>
      <c r="I65" s="144" t="s">
        <v>760</v>
      </c>
      <c r="J65" s="144" t="s">
        <v>760</v>
      </c>
      <c r="K65" s="144" t="s">
        <v>760</v>
      </c>
      <c r="L65" s="144" t="s">
        <v>760</v>
      </c>
      <c r="M65" s="144" t="s">
        <v>760</v>
      </c>
      <c r="N65" s="144" t="s">
        <v>760</v>
      </c>
      <c r="O65" s="144" t="s">
        <v>760</v>
      </c>
      <c r="P65" s="144" t="s">
        <v>760</v>
      </c>
      <c r="Q65" s="28"/>
      <c r="R65" s="28"/>
      <c r="S65" s="130"/>
      <c r="T65" s="129"/>
      <c r="U65" s="129"/>
      <c r="V65" s="129"/>
      <c r="W65" s="129"/>
      <c r="X65" s="129"/>
      <c r="Y65" s="129"/>
      <c r="Z65" s="129"/>
      <c r="AA65" s="129"/>
      <c r="AB65" s="129"/>
      <c r="AC65" s="129"/>
      <c r="AD65" s="129"/>
      <c r="AE65" s="28"/>
      <c r="AF65" s="26"/>
      <c r="AG65" s="28"/>
      <c r="AH65" s="28"/>
      <c r="AI65" s="28"/>
      <c r="AJ65" s="28"/>
      <c r="AK65" s="26"/>
    </row>
    <row r="66" spans="1:37" ht="55.5" customHeight="1" thickBot="1" x14ac:dyDescent="0.4">
      <c r="A66" s="29" t="s">
        <v>472</v>
      </c>
      <c r="B66" s="29" t="s">
        <v>477</v>
      </c>
      <c r="C66" s="29" t="s">
        <v>152</v>
      </c>
      <c r="D66" s="97" t="s">
        <v>193</v>
      </c>
      <c r="E66" s="29" t="s">
        <v>157</v>
      </c>
      <c r="F66" s="26" t="s">
        <v>761</v>
      </c>
      <c r="G66" s="144" t="s">
        <v>760</v>
      </c>
      <c r="H66" s="144" t="s">
        <v>760</v>
      </c>
      <c r="I66" s="144" t="s">
        <v>760</v>
      </c>
      <c r="J66" s="144" t="s">
        <v>760</v>
      </c>
      <c r="K66" s="144" t="s">
        <v>760</v>
      </c>
      <c r="L66" s="144" t="s">
        <v>760</v>
      </c>
      <c r="M66" s="144" t="s">
        <v>760</v>
      </c>
      <c r="N66" s="144" t="s">
        <v>760</v>
      </c>
      <c r="O66" s="144" t="s">
        <v>760</v>
      </c>
      <c r="P66" s="144" t="s">
        <v>760</v>
      </c>
      <c r="Q66" s="28"/>
      <c r="R66" s="28"/>
      <c r="S66" s="130"/>
      <c r="T66" s="129"/>
      <c r="U66" s="129"/>
      <c r="V66" s="129"/>
      <c r="W66" s="129"/>
      <c r="X66" s="129"/>
      <c r="Y66" s="129"/>
      <c r="Z66" s="129"/>
      <c r="AA66" s="129"/>
      <c r="AB66" s="129"/>
      <c r="AC66" s="129"/>
      <c r="AD66" s="129"/>
      <c r="AE66" s="28"/>
      <c r="AF66" s="26"/>
      <c r="AG66" s="28"/>
      <c r="AH66" s="28"/>
      <c r="AI66" s="28"/>
      <c r="AJ66" s="28"/>
      <c r="AK66" s="26"/>
    </row>
    <row r="67" spans="1:37" ht="56.25" customHeight="1" thickBot="1" x14ac:dyDescent="0.4">
      <c r="A67" s="29" t="s">
        <v>472</v>
      </c>
      <c r="B67" s="29" t="s">
        <v>478</v>
      </c>
      <c r="C67" s="128" t="s">
        <v>337</v>
      </c>
      <c r="D67" s="97" t="s">
        <v>345</v>
      </c>
      <c r="E67" s="128" t="s">
        <v>157</v>
      </c>
      <c r="F67" s="26" t="s">
        <v>761</v>
      </c>
      <c r="G67" s="144" t="s">
        <v>760</v>
      </c>
      <c r="H67" s="144" t="s">
        <v>760</v>
      </c>
      <c r="I67" s="144" t="s">
        <v>760</v>
      </c>
      <c r="J67" s="144" t="s">
        <v>760</v>
      </c>
      <c r="K67" s="144" t="s">
        <v>760</v>
      </c>
      <c r="L67" s="144" t="s">
        <v>760</v>
      </c>
      <c r="M67" s="144" t="s">
        <v>760</v>
      </c>
      <c r="N67" s="144" t="s">
        <v>760</v>
      </c>
      <c r="O67" s="144" t="s">
        <v>760</v>
      </c>
      <c r="P67" s="144" t="s">
        <v>760</v>
      </c>
      <c r="Q67" s="28"/>
      <c r="R67" s="28"/>
      <c r="S67" s="130"/>
      <c r="T67" s="129"/>
      <c r="U67" s="129"/>
      <c r="V67" s="129"/>
      <c r="W67" s="129"/>
      <c r="X67" s="129"/>
      <c r="Y67" s="129"/>
      <c r="Z67" s="129"/>
      <c r="AA67" s="129"/>
      <c r="AB67" s="129"/>
      <c r="AC67" s="129"/>
      <c r="AD67" s="129"/>
      <c r="AE67" s="28"/>
      <c r="AF67" s="26"/>
      <c r="AG67" s="28"/>
      <c r="AH67" s="28"/>
      <c r="AI67" s="28"/>
      <c r="AJ67" s="28"/>
      <c r="AK67" s="26"/>
    </row>
    <row r="68" spans="1:37" ht="56.25" customHeight="1" thickBot="1" x14ac:dyDescent="0.4">
      <c r="A68" s="29" t="s">
        <v>472</v>
      </c>
      <c r="B68" s="29" t="s">
        <v>479</v>
      </c>
      <c r="C68" s="128" t="s">
        <v>338</v>
      </c>
      <c r="D68" s="97" t="s">
        <v>346</v>
      </c>
      <c r="E68" s="128" t="s">
        <v>157</v>
      </c>
      <c r="F68" s="26" t="s">
        <v>761</v>
      </c>
      <c r="G68" s="144" t="s">
        <v>760</v>
      </c>
      <c r="H68" s="144" t="s">
        <v>760</v>
      </c>
      <c r="I68" s="144" t="s">
        <v>760</v>
      </c>
      <c r="J68" s="144" t="s">
        <v>760</v>
      </c>
      <c r="K68" s="144" t="s">
        <v>760</v>
      </c>
      <c r="L68" s="144" t="s">
        <v>760</v>
      </c>
      <c r="M68" s="144" t="s">
        <v>760</v>
      </c>
      <c r="N68" s="144" t="s">
        <v>760</v>
      </c>
      <c r="O68" s="144" t="s">
        <v>760</v>
      </c>
      <c r="P68" s="144" t="s">
        <v>760</v>
      </c>
      <c r="Q68" s="28"/>
      <c r="R68" s="28"/>
      <c r="S68" s="130"/>
      <c r="T68" s="129"/>
      <c r="U68" s="129"/>
      <c r="V68" s="129"/>
      <c r="W68" s="129"/>
      <c r="X68" s="129"/>
      <c r="Y68" s="129"/>
      <c r="Z68" s="129"/>
      <c r="AA68" s="129"/>
      <c r="AB68" s="129"/>
      <c r="AC68" s="129"/>
      <c r="AD68" s="129"/>
      <c r="AE68" s="28"/>
      <c r="AF68" s="26"/>
      <c r="AG68" s="28"/>
      <c r="AH68" s="28"/>
      <c r="AI68" s="28"/>
      <c r="AJ68" s="28"/>
      <c r="AK68" s="26"/>
    </row>
    <row r="69" spans="1:37" ht="13" thickBot="1" x14ac:dyDescent="0.4"/>
    <row r="70" spans="1:37" ht="26.15" customHeight="1" thickBot="1" x14ac:dyDescent="0.4">
      <c r="A70" s="112" t="s">
        <v>690</v>
      </c>
      <c r="B70" s="113"/>
      <c r="C70" s="113"/>
      <c r="D70" s="113"/>
      <c r="E70" s="113"/>
      <c r="F70" s="113"/>
      <c r="G70" s="113"/>
      <c r="H70" s="113"/>
      <c r="I70" s="113"/>
      <c r="J70" s="113"/>
      <c r="K70" s="113"/>
      <c r="L70" s="113"/>
      <c r="M70" s="113"/>
      <c r="N70" s="113"/>
      <c r="O70" s="113"/>
      <c r="P70" s="113"/>
      <c r="Q70" s="113"/>
      <c r="R70" s="113"/>
      <c r="S70" s="114"/>
      <c r="T70" s="114"/>
      <c r="U70" s="114"/>
      <c r="V70" s="114"/>
      <c r="W70" s="114"/>
      <c r="X70" s="114"/>
      <c r="Y70" s="114"/>
      <c r="Z70" s="114"/>
      <c r="AA70" s="114"/>
      <c r="AB70" s="114"/>
      <c r="AC70" s="114"/>
      <c r="AD70" s="114"/>
      <c r="AE70" s="114"/>
      <c r="AF70" s="114"/>
      <c r="AG70" s="115"/>
      <c r="AH70" s="115"/>
      <c r="AI70" s="113"/>
      <c r="AJ70" s="113"/>
      <c r="AK70" s="115"/>
    </row>
    <row r="71" spans="1:37" ht="81.75" customHeight="1" thickBot="1" x14ac:dyDescent="0.4">
      <c r="A71" s="29" t="s">
        <v>637</v>
      </c>
      <c r="B71" s="29" t="s">
        <v>638</v>
      </c>
      <c r="C71" s="29" t="s">
        <v>150</v>
      </c>
      <c r="D71" s="97" t="s">
        <v>347</v>
      </c>
      <c r="E71" s="23" t="s">
        <v>135</v>
      </c>
      <c r="F71" s="26" t="s">
        <v>107</v>
      </c>
      <c r="G71" s="81">
        <f t="shared" ref="G71:P71" si="31">(1-G55)*G46*G$22</f>
        <v>7680</v>
      </c>
      <c r="H71" s="81">
        <f t="shared" si="31"/>
        <v>15360</v>
      </c>
      <c r="I71" s="81">
        <f t="shared" si="31"/>
        <v>15360</v>
      </c>
      <c r="J71" s="81">
        <f t="shared" si="31"/>
        <v>15360</v>
      </c>
      <c r="K71" s="81">
        <f t="shared" si="31"/>
        <v>15360</v>
      </c>
      <c r="L71" s="81">
        <f t="shared" si="31"/>
        <v>15360</v>
      </c>
      <c r="M71" s="81">
        <f t="shared" si="31"/>
        <v>15360</v>
      </c>
      <c r="N71" s="81">
        <f t="shared" si="31"/>
        <v>15360</v>
      </c>
      <c r="O71" s="81">
        <f t="shared" si="31"/>
        <v>15360</v>
      </c>
      <c r="P71" s="81">
        <f t="shared" si="31"/>
        <v>15360</v>
      </c>
      <c r="Q71" s="81">
        <f>SUM(G71:P71)</f>
        <v>145920</v>
      </c>
      <c r="R71" s="28"/>
      <c r="S71" s="130"/>
      <c r="T71" s="83">
        <f>IF(ISNUMBER(G62)=FALSE,'Conversion factors BATT'!$B57*1000*'Conversion factors BATT'!$B$17*'Conversion factors BATT'!$B$6+'Conversion factors BATT'!$B60,IF(G62="",'Conversion factors BATT'!$B57*1000*'Conversion factors BATT'!$B$17*'Conversion factors BATT'!$B$6+'Conversion factors BATT'!$B60,G62))*G71</f>
        <v>26880</v>
      </c>
      <c r="U71" s="83">
        <f>IF(ISNUMBER(H62)=FALSE,'Conversion factors BATT'!$B57*1000*'Conversion factors BATT'!$B$17*'Conversion factors BATT'!$B$6+'Conversion factors BATT'!$B60,IF(H62="",'Conversion factors BATT'!$B57*1000*'Conversion factors BATT'!$B$17*'Conversion factors BATT'!$B$6+'Conversion factors BATT'!$B60,H62))*H71</f>
        <v>53760</v>
      </c>
      <c r="V71" s="83">
        <f>IF(ISNUMBER(I62)=FALSE,'Conversion factors BATT'!$B57*1000*'Conversion factors BATT'!$B$17*'Conversion factors BATT'!$B$6+'Conversion factors BATT'!$B60,IF(I62="",'Conversion factors BATT'!$B57*1000*'Conversion factors BATT'!$B$17*'Conversion factors BATT'!$B$6+'Conversion factors BATT'!$B60,I62))*I71</f>
        <v>53760</v>
      </c>
      <c r="W71" s="83">
        <f>IF(ISNUMBER(J62)=FALSE,'Conversion factors BATT'!$B57*1000*'Conversion factors BATT'!$B$17*'Conversion factors BATT'!$B$6+'Conversion factors BATT'!$B60,IF(J62="",'Conversion factors BATT'!$B57*1000*'Conversion factors BATT'!$B$17*'Conversion factors BATT'!$B$6+'Conversion factors BATT'!$B60,J62))*J71</f>
        <v>53760</v>
      </c>
      <c r="X71" s="83">
        <f>IF(ISNUMBER(K62)=FALSE,'Conversion factors BATT'!$B57*1000*'Conversion factors BATT'!$B$17*'Conversion factors BATT'!$B$6+'Conversion factors BATT'!$B60,IF(K62="",'Conversion factors BATT'!$B57*1000*'Conversion factors BATT'!$B$17*'Conversion factors BATT'!$B$6+'Conversion factors BATT'!$B60,K62))*K71</f>
        <v>53760</v>
      </c>
      <c r="Y71" s="83">
        <f>IF(ISNUMBER(L62)=FALSE,'Conversion factors BATT'!$B57*1000*'Conversion factors BATT'!$B$17*'Conversion factors BATT'!$B$6+'Conversion factors BATT'!$B60,IF(L62="",'Conversion factors BATT'!$B57*1000*'Conversion factors BATT'!$B$17*'Conversion factors BATT'!$B$6+'Conversion factors BATT'!$B60,L62))*L71</f>
        <v>53760</v>
      </c>
      <c r="Z71" s="83">
        <f>IF(ISNUMBER(M62)=FALSE,'Conversion factors BATT'!$B57*1000*'Conversion factors BATT'!$B$17*'Conversion factors BATT'!$B$6+'Conversion factors BATT'!$B60,IF(M62="",'Conversion factors BATT'!$B57*1000*'Conversion factors BATT'!$B$17*'Conversion factors BATT'!$B$6+'Conversion factors BATT'!$B60,M62))*M71</f>
        <v>53760</v>
      </c>
      <c r="AA71" s="83">
        <f>IF(ISNUMBER(N62)=FALSE,'Conversion factors BATT'!$B57*1000*'Conversion factors BATT'!$B$17*'Conversion factors BATT'!$B$6+'Conversion factors BATT'!$B60,IF(N62="",'Conversion factors BATT'!$B57*1000*'Conversion factors BATT'!$B$17*'Conversion factors BATT'!$B$6+'Conversion factors BATT'!$B60,N62))*N71</f>
        <v>53760</v>
      </c>
      <c r="AB71" s="83">
        <f>IF(ISNUMBER(O62)=FALSE,'Conversion factors BATT'!$B57*1000*'Conversion factors BATT'!$B$17*'Conversion factors BATT'!$B$6+'Conversion factors BATT'!$B60,IF(O62="",'Conversion factors BATT'!$B57*1000*'Conversion factors BATT'!$B$17*'Conversion factors BATT'!$B$6+'Conversion factors BATT'!$B60,O62))*O71</f>
        <v>53760</v>
      </c>
      <c r="AC71" s="83">
        <f>IF(ISNUMBER(P62)=FALSE,'Conversion factors BATT'!$B57*1000*'Conversion factors BATT'!$B$17*'Conversion factors BATT'!$B$6+'Conversion factors BATT'!$B60,IF(P62="",'Conversion factors BATT'!$B57*1000*'Conversion factors BATT'!$B$17*'Conversion factors BATT'!$B$6+'Conversion factors BATT'!$B60,P62))*P71</f>
        <v>53760</v>
      </c>
      <c r="AD71" s="83">
        <f t="shared" ref="AD71:AD77" si="32">SUM(T71:AC71)</f>
        <v>510720</v>
      </c>
      <c r="AE71" s="28"/>
      <c r="AF71" s="26"/>
      <c r="AG71" s="28"/>
      <c r="AH71" s="28"/>
      <c r="AI71" s="28"/>
      <c r="AJ71" s="28"/>
      <c r="AK71" s="26"/>
    </row>
    <row r="72" spans="1:37" ht="81.75" customHeight="1" thickBot="1" x14ac:dyDescent="0.4">
      <c r="A72" s="29" t="s">
        <v>637</v>
      </c>
      <c r="B72" s="29" t="s">
        <v>639</v>
      </c>
      <c r="C72" s="29" t="s">
        <v>149</v>
      </c>
      <c r="D72" s="97" t="s">
        <v>348</v>
      </c>
      <c r="E72" s="23" t="s">
        <v>135</v>
      </c>
      <c r="F72" s="26" t="s">
        <v>107</v>
      </c>
      <c r="G72" s="81">
        <f t="shared" ref="G72:P72" si="33">(1-G56)*G47*G$22</f>
        <v>0</v>
      </c>
      <c r="H72" s="81">
        <f t="shared" si="33"/>
        <v>0</v>
      </c>
      <c r="I72" s="81">
        <f t="shared" si="33"/>
        <v>0</v>
      </c>
      <c r="J72" s="81">
        <f t="shared" si="33"/>
        <v>0</v>
      </c>
      <c r="K72" s="81">
        <f t="shared" si="33"/>
        <v>0</v>
      </c>
      <c r="L72" s="81">
        <f t="shared" si="33"/>
        <v>0</v>
      </c>
      <c r="M72" s="81">
        <f t="shared" si="33"/>
        <v>0</v>
      </c>
      <c r="N72" s="81">
        <f t="shared" si="33"/>
        <v>0</v>
      </c>
      <c r="O72" s="81">
        <f t="shared" si="33"/>
        <v>0</v>
      </c>
      <c r="P72" s="81">
        <f t="shared" si="33"/>
        <v>0</v>
      </c>
      <c r="Q72" s="81">
        <f t="shared" ref="Q72:Q77" si="34">SUM(G72:P72)</f>
        <v>0</v>
      </c>
      <c r="R72" s="28"/>
      <c r="S72" s="130"/>
      <c r="T72" s="83">
        <f>IF(ISNUMBER(G63)=FALSE,'Conversion factors BATT'!$B58*1000*'Conversion factors BATT'!$B$17*'Conversion factors BATT'!$B$6+'Conversion factors BATT'!$B61,IF(G63="",'Conversion factors BATT'!$B58*1000*'Conversion factors BATT'!$B$17*'Conversion factors BATT'!$B$6+'Conversion factors BATT'!$B61,G63))*G72</f>
        <v>0</v>
      </c>
      <c r="U72" s="83">
        <f>IF(ISNUMBER(H63)=FALSE,'Conversion factors BATT'!$B58*1000*'Conversion factors BATT'!$B$17*'Conversion factors BATT'!$B$6+'Conversion factors BATT'!$B61,IF(H63="",'Conversion factors BATT'!$B58*1000*'Conversion factors BATT'!$B$17*'Conversion factors BATT'!$B$6+'Conversion factors BATT'!$B61,H63))*H72</f>
        <v>0</v>
      </c>
      <c r="V72" s="83">
        <f>IF(ISNUMBER(I63)=FALSE,'Conversion factors BATT'!$B58*1000*'Conversion factors BATT'!$B$17*'Conversion factors BATT'!$B$6+'Conversion factors BATT'!$B61,IF(I63="",'Conversion factors BATT'!$B58*1000*'Conversion factors BATT'!$B$17*'Conversion factors BATT'!$B$6+'Conversion factors BATT'!$B61,I63))*I72</f>
        <v>0</v>
      </c>
      <c r="W72" s="83">
        <f>IF(ISNUMBER(J63)=FALSE,'Conversion factors BATT'!$B58*1000*'Conversion factors BATT'!$B$17*'Conversion factors BATT'!$B$6+'Conversion factors BATT'!$B61,IF(J63="",'Conversion factors BATT'!$B58*1000*'Conversion factors BATT'!$B$17*'Conversion factors BATT'!$B$6+'Conversion factors BATT'!$B61,J63))*J72</f>
        <v>0</v>
      </c>
      <c r="X72" s="83">
        <f>IF(ISNUMBER(K63)=FALSE,'Conversion factors BATT'!$B58*1000*'Conversion factors BATT'!$B$17*'Conversion factors BATT'!$B$6+'Conversion factors BATT'!$B61,IF(K63="",'Conversion factors BATT'!$B58*1000*'Conversion factors BATT'!$B$17*'Conversion factors BATT'!$B$6+'Conversion factors BATT'!$B61,K63))*K72</f>
        <v>0</v>
      </c>
      <c r="Y72" s="83">
        <f>IF(ISNUMBER(L63)=FALSE,'Conversion factors BATT'!$B58*1000*'Conversion factors BATT'!$B$17*'Conversion factors BATT'!$B$6+'Conversion factors BATT'!$B61,IF(L63="",'Conversion factors BATT'!$B58*1000*'Conversion factors BATT'!$B$17*'Conversion factors BATT'!$B$6+'Conversion factors BATT'!$B61,L63))*L72</f>
        <v>0</v>
      </c>
      <c r="Z72" s="83">
        <f>IF(ISNUMBER(M63)=FALSE,'Conversion factors BATT'!$B58*1000*'Conversion factors BATT'!$B$17*'Conversion factors BATT'!$B$6+'Conversion factors BATT'!$B61,IF(M63="",'Conversion factors BATT'!$B58*1000*'Conversion factors BATT'!$B$17*'Conversion factors BATT'!$B$6+'Conversion factors BATT'!$B61,M63))*M72</f>
        <v>0</v>
      </c>
      <c r="AA72" s="83">
        <f>IF(ISNUMBER(N63)=FALSE,'Conversion factors BATT'!$B58*1000*'Conversion factors BATT'!$B$17*'Conversion factors BATT'!$B$6+'Conversion factors BATT'!$B61,IF(N63="",'Conversion factors BATT'!$B58*1000*'Conversion factors BATT'!$B$17*'Conversion factors BATT'!$B$6+'Conversion factors BATT'!$B61,N63))*N72</f>
        <v>0</v>
      </c>
      <c r="AB72" s="83">
        <f>IF(ISNUMBER(O63)=FALSE,'Conversion factors BATT'!$B58*1000*'Conversion factors BATT'!$B$17*'Conversion factors BATT'!$B$6+'Conversion factors BATT'!$B61,IF(O63="",'Conversion factors BATT'!$B58*1000*'Conversion factors BATT'!$B$17*'Conversion factors BATT'!$B$6+'Conversion factors BATT'!$B61,O63))*O72</f>
        <v>0</v>
      </c>
      <c r="AC72" s="83">
        <f>IF(ISNUMBER(P63)=FALSE,'Conversion factors BATT'!$B58*1000*'Conversion factors BATT'!$B$17*'Conversion factors BATT'!$B$6+'Conversion factors BATT'!$B61,IF(P63="",'Conversion factors BATT'!$B58*1000*'Conversion factors BATT'!$B$17*'Conversion factors BATT'!$B$6+'Conversion factors BATT'!$B61,P63))*P72</f>
        <v>0</v>
      </c>
      <c r="AD72" s="83">
        <f t="shared" si="32"/>
        <v>0</v>
      </c>
      <c r="AE72" s="28"/>
      <c r="AF72" s="26"/>
      <c r="AG72" s="28"/>
      <c r="AH72" s="28"/>
      <c r="AI72" s="28"/>
      <c r="AJ72" s="28"/>
      <c r="AK72" s="26"/>
    </row>
    <row r="73" spans="1:37" ht="42.65" customHeight="1" thickBot="1" x14ac:dyDescent="0.4">
      <c r="A73" s="29" t="s">
        <v>637</v>
      </c>
      <c r="B73" s="29" t="s">
        <v>640</v>
      </c>
      <c r="C73" s="29" t="s">
        <v>151</v>
      </c>
      <c r="D73" s="97" t="s">
        <v>349</v>
      </c>
      <c r="E73" s="23" t="s">
        <v>135</v>
      </c>
      <c r="F73" s="26" t="s">
        <v>107</v>
      </c>
      <c r="G73" s="81">
        <f t="shared" ref="G73:P73" si="35">(1-G57)*G48*G$22</f>
        <v>4047.6</v>
      </c>
      <c r="H73" s="81">
        <f t="shared" si="35"/>
        <v>8095.2</v>
      </c>
      <c r="I73" s="81">
        <f t="shared" si="35"/>
        <v>8095.2</v>
      </c>
      <c r="J73" s="81">
        <f t="shared" si="35"/>
        <v>8095.2</v>
      </c>
      <c r="K73" s="81">
        <f t="shared" si="35"/>
        <v>8095.2</v>
      </c>
      <c r="L73" s="81">
        <f t="shared" si="35"/>
        <v>8095.2</v>
      </c>
      <c r="M73" s="81">
        <f t="shared" si="35"/>
        <v>8095.2</v>
      </c>
      <c r="N73" s="81">
        <f t="shared" si="35"/>
        <v>8095.2</v>
      </c>
      <c r="O73" s="81">
        <f t="shared" si="35"/>
        <v>8095.2</v>
      </c>
      <c r="P73" s="81">
        <f t="shared" si="35"/>
        <v>8095.2</v>
      </c>
      <c r="Q73" s="81">
        <f t="shared" si="34"/>
        <v>76904.399999999994</v>
      </c>
      <c r="R73" s="28"/>
      <c r="S73" s="130"/>
      <c r="T73" s="83">
        <f>IF(ISNUMBER(G64)=FALSE,'Conversion factors BATT'!$B59*1000*'Conversion factors BATT'!$B$17*'Conversion factors BATT'!$B$6+'Conversion factors BATT'!$B62,IF(G64="",'Conversion factors BATT'!$B59*1000*'Conversion factors BATT'!$B$17*'Conversion factors BATT'!$B$6+'Conversion factors BATT'!$B62,G64))*G73</f>
        <v>31814.135999999999</v>
      </c>
      <c r="U73" s="83">
        <f>IF(ISNUMBER(H64)=FALSE,'Conversion factors BATT'!$B59*1000*'Conversion factors BATT'!$B$17*'Conversion factors BATT'!$B$6+'Conversion factors BATT'!$B62,IF(H64="",'Conversion factors BATT'!$B59*1000*'Conversion factors BATT'!$B$17*'Conversion factors BATT'!$B$6+'Conversion factors BATT'!$B62,H64))*H73</f>
        <v>63628.271999999997</v>
      </c>
      <c r="V73" s="83">
        <f>IF(ISNUMBER(I64)=FALSE,'Conversion factors BATT'!$B59*1000*'Conversion factors BATT'!$B$17*'Conversion factors BATT'!$B$6+'Conversion factors BATT'!$B62,IF(I64="",'Conversion factors BATT'!$B59*1000*'Conversion factors BATT'!$B$17*'Conversion factors BATT'!$B$6+'Conversion factors BATT'!$B62,I64))*I73</f>
        <v>63628.271999999997</v>
      </c>
      <c r="W73" s="83">
        <f>IF(ISNUMBER(J64)=FALSE,'Conversion factors BATT'!$B59*1000*'Conversion factors BATT'!$B$17*'Conversion factors BATT'!$B$6+'Conversion factors BATT'!$B62,IF(J64="",'Conversion factors BATT'!$B59*1000*'Conversion factors BATT'!$B$17*'Conversion factors BATT'!$B$6+'Conversion factors BATT'!$B62,J64))*J73</f>
        <v>63628.271999999997</v>
      </c>
      <c r="X73" s="83">
        <f>IF(ISNUMBER(K64)=FALSE,'Conversion factors BATT'!$B59*1000*'Conversion factors BATT'!$B$17*'Conversion factors BATT'!$B$6+'Conversion factors BATT'!$B62,IF(K64="",'Conversion factors BATT'!$B59*1000*'Conversion factors BATT'!$B$17*'Conversion factors BATT'!$B$6+'Conversion factors BATT'!$B62,K64))*K73</f>
        <v>63628.271999999997</v>
      </c>
      <c r="Y73" s="83">
        <f>IF(ISNUMBER(L64)=FALSE,'Conversion factors BATT'!$B59*1000*'Conversion factors BATT'!$B$17*'Conversion factors BATT'!$B$6+'Conversion factors BATT'!$B62,IF(L64="",'Conversion factors BATT'!$B59*1000*'Conversion factors BATT'!$B$17*'Conversion factors BATT'!$B$6+'Conversion factors BATT'!$B62,L64))*L73</f>
        <v>63628.271999999997</v>
      </c>
      <c r="Z73" s="83">
        <f>IF(ISNUMBER(M64)=FALSE,'Conversion factors BATT'!$B59*1000*'Conversion factors BATT'!$B$17*'Conversion factors BATT'!$B$6+'Conversion factors BATT'!$B62,IF(M64="",'Conversion factors BATT'!$B59*1000*'Conversion factors BATT'!$B$17*'Conversion factors BATT'!$B$6+'Conversion factors BATT'!$B62,M64))*M73</f>
        <v>63628.271999999997</v>
      </c>
      <c r="AA73" s="83">
        <f>IF(ISNUMBER(N64)=FALSE,'Conversion factors BATT'!$B59*1000*'Conversion factors BATT'!$B$17*'Conversion factors BATT'!$B$6+'Conversion factors BATT'!$B62,IF(N64="",'Conversion factors BATT'!$B59*1000*'Conversion factors BATT'!$B$17*'Conversion factors BATT'!$B$6+'Conversion factors BATT'!$B62,N64))*N73</f>
        <v>63628.271999999997</v>
      </c>
      <c r="AB73" s="83">
        <f>IF(ISNUMBER(O64)=FALSE,'Conversion factors BATT'!$B59*1000*'Conversion factors BATT'!$B$17*'Conversion factors BATT'!$B$6+'Conversion factors BATT'!$B62,IF(O64="",'Conversion factors BATT'!$B59*1000*'Conversion factors BATT'!$B$17*'Conversion factors BATT'!$B$6+'Conversion factors BATT'!$B62,O64))*O73</f>
        <v>63628.271999999997</v>
      </c>
      <c r="AC73" s="83">
        <f>IF(ISNUMBER(P64)=FALSE,'Conversion factors BATT'!$B59*1000*'Conversion factors BATT'!$B$17*'Conversion factors BATT'!$B$6+'Conversion factors BATT'!$B62,IF(P64="",'Conversion factors BATT'!$B59*1000*'Conversion factors BATT'!$B$17*'Conversion factors BATT'!$B$6+'Conversion factors BATT'!$B62,P64))*P73</f>
        <v>63628.271999999997</v>
      </c>
      <c r="AD73" s="83">
        <f t="shared" si="32"/>
        <v>604468.58399999992</v>
      </c>
      <c r="AE73" s="28"/>
      <c r="AF73" s="26"/>
      <c r="AG73" s="28"/>
      <c r="AH73" s="28"/>
      <c r="AI73" s="28"/>
      <c r="AJ73" s="28"/>
      <c r="AK73" s="26"/>
    </row>
    <row r="74" spans="1:37" ht="48" customHeight="1" thickBot="1" x14ac:dyDescent="0.4">
      <c r="A74" s="29" t="s">
        <v>637</v>
      </c>
      <c r="B74" s="29" t="s">
        <v>641</v>
      </c>
      <c r="C74" s="29" t="s">
        <v>153</v>
      </c>
      <c r="D74" s="97" t="s">
        <v>350</v>
      </c>
      <c r="E74" s="23" t="s">
        <v>135</v>
      </c>
      <c r="F74" s="26" t="s">
        <v>107</v>
      </c>
      <c r="G74" s="81">
        <f t="shared" ref="G74:P74" si="36">(1-G58)*G49*G$22</f>
        <v>3230</v>
      </c>
      <c r="H74" s="81">
        <f t="shared" si="36"/>
        <v>6460</v>
      </c>
      <c r="I74" s="81">
        <f t="shared" si="36"/>
        <v>6460</v>
      </c>
      <c r="J74" s="81">
        <f t="shared" si="36"/>
        <v>6460</v>
      </c>
      <c r="K74" s="81">
        <f t="shared" si="36"/>
        <v>6460</v>
      </c>
      <c r="L74" s="81">
        <f t="shared" si="36"/>
        <v>6460</v>
      </c>
      <c r="M74" s="81">
        <f t="shared" si="36"/>
        <v>6460</v>
      </c>
      <c r="N74" s="81">
        <f t="shared" si="36"/>
        <v>6460</v>
      </c>
      <c r="O74" s="81">
        <f t="shared" si="36"/>
        <v>6460</v>
      </c>
      <c r="P74" s="81">
        <f t="shared" si="36"/>
        <v>6460</v>
      </c>
      <c r="Q74" s="81">
        <f t="shared" si="34"/>
        <v>61370</v>
      </c>
      <c r="R74" s="28"/>
      <c r="S74" s="130"/>
      <c r="T74" s="83">
        <f>IF(ISNUMBER(G65)=FALSE,'Conversion factors BATT'!$B60*1000*'Conversion factors BATT'!$B$17*'Conversion factors BATT'!$B$6+'Conversion factors BATT'!$B63,IF(G65="",'Conversion factors BATT'!$B60*1000*'Conversion factors BATT'!$B$17*'Conversion factors BATT'!$B$6+'Conversion factors BATT'!$B63,G65))*G74</f>
        <v>19586.72</v>
      </c>
      <c r="U74" s="83">
        <f>IF(ISNUMBER(H65)=FALSE,'Conversion factors BATT'!$B60*1000*'Conversion factors BATT'!$B$17*'Conversion factors BATT'!$B$6+'Conversion factors BATT'!$B63,IF(H65="",'Conversion factors BATT'!$B60*1000*'Conversion factors BATT'!$B$17*'Conversion factors BATT'!$B$6+'Conversion factors BATT'!$B63,H65))*H74</f>
        <v>39173.440000000002</v>
      </c>
      <c r="V74" s="83">
        <f>IF(ISNUMBER(I65)=FALSE,'Conversion factors BATT'!$B60*1000*'Conversion factors BATT'!$B$17*'Conversion factors BATT'!$B$6+'Conversion factors BATT'!$B63,IF(I65="",'Conversion factors BATT'!$B60*1000*'Conversion factors BATT'!$B$17*'Conversion factors BATT'!$B$6+'Conversion factors BATT'!$B63,I65))*I74</f>
        <v>39173.440000000002</v>
      </c>
      <c r="W74" s="83">
        <f>IF(ISNUMBER(J65)=FALSE,'Conversion factors BATT'!$B60*1000*'Conversion factors BATT'!$B$17*'Conversion factors BATT'!$B$6+'Conversion factors BATT'!$B63,IF(J65="",'Conversion factors BATT'!$B60*1000*'Conversion factors BATT'!$B$17*'Conversion factors BATT'!$B$6+'Conversion factors BATT'!$B63,J65))*J74</f>
        <v>39173.440000000002</v>
      </c>
      <c r="X74" s="83">
        <f>IF(ISNUMBER(K65)=FALSE,'Conversion factors BATT'!$B60*1000*'Conversion factors BATT'!$B$17*'Conversion factors BATT'!$B$6+'Conversion factors BATT'!$B63,IF(K65="",'Conversion factors BATT'!$B60*1000*'Conversion factors BATT'!$B$17*'Conversion factors BATT'!$B$6+'Conversion factors BATT'!$B63,K65))*K74</f>
        <v>39173.440000000002</v>
      </c>
      <c r="Y74" s="83">
        <f>IF(ISNUMBER(L65)=FALSE,'Conversion factors BATT'!$B60*1000*'Conversion factors BATT'!$B$17*'Conversion factors BATT'!$B$6+'Conversion factors BATT'!$B63,IF(L65="",'Conversion factors BATT'!$B60*1000*'Conversion factors BATT'!$B$17*'Conversion factors BATT'!$B$6+'Conversion factors BATT'!$B63,L65))*L74</f>
        <v>39173.440000000002</v>
      </c>
      <c r="Z74" s="83">
        <f>IF(ISNUMBER(M65)=FALSE,'Conversion factors BATT'!$B60*1000*'Conversion factors BATT'!$B$17*'Conversion factors BATT'!$B$6+'Conversion factors BATT'!$B63,IF(M65="",'Conversion factors BATT'!$B60*1000*'Conversion factors BATT'!$B$17*'Conversion factors BATT'!$B$6+'Conversion factors BATT'!$B63,M65))*M74</f>
        <v>39173.440000000002</v>
      </c>
      <c r="AA74" s="83">
        <f>IF(ISNUMBER(N65)=FALSE,'Conversion factors BATT'!$B60*1000*'Conversion factors BATT'!$B$17*'Conversion factors BATT'!$B$6+'Conversion factors BATT'!$B63,IF(N65="",'Conversion factors BATT'!$B60*1000*'Conversion factors BATT'!$B$17*'Conversion factors BATT'!$B$6+'Conversion factors BATT'!$B63,N65))*N74</f>
        <v>39173.440000000002</v>
      </c>
      <c r="AB74" s="83">
        <f>IF(ISNUMBER(O65)=FALSE,'Conversion factors BATT'!$B60*1000*'Conversion factors BATT'!$B$17*'Conversion factors BATT'!$B$6+'Conversion factors BATT'!$B63,IF(O65="",'Conversion factors BATT'!$B60*1000*'Conversion factors BATT'!$B$17*'Conversion factors BATT'!$B$6+'Conversion factors BATT'!$B63,O65))*O74</f>
        <v>39173.440000000002</v>
      </c>
      <c r="AC74" s="83">
        <f>IF(ISNUMBER(P65)=FALSE,'Conversion factors BATT'!$B60*1000*'Conversion factors BATT'!$B$17*'Conversion factors BATT'!$B$6+'Conversion factors BATT'!$B63,IF(P65="",'Conversion factors BATT'!$B60*1000*'Conversion factors BATT'!$B$17*'Conversion factors BATT'!$B$6+'Conversion factors BATT'!$B63,P65))*P74</f>
        <v>39173.440000000002</v>
      </c>
      <c r="AD74" s="83">
        <f t="shared" si="32"/>
        <v>372147.68000000005</v>
      </c>
      <c r="AE74" s="28"/>
      <c r="AF74" s="26"/>
      <c r="AG74" s="28"/>
      <c r="AH74" s="28"/>
      <c r="AI74" s="28"/>
      <c r="AJ74" s="28"/>
      <c r="AK74" s="26"/>
    </row>
    <row r="75" spans="1:37" ht="55.5" customHeight="1" thickBot="1" x14ac:dyDescent="0.4">
      <c r="A75" s="29" t="s">
        <v>637</v>
      </c>
      <c r="B75" s="29" t="s">
        <v>642</v>
      </c>
      <c r="C75" s="29" t="s">
        <v>152</v>
      </c>
      <c r="D75" s="97" t="s">
        <v>351</v>
      </c>
      <c r="E75" s="23" t="s">
        <v>135</v>
      </c>
      <c r="F75" s="26" t="s">
        <v>107</v>
      </c>
      <c r="G75" s="81">
        <f t="shared" ref="G75:P75" si="37">(1-G59)*G50*G$22</f>
        <v>736.4</v>
      </c>
      <c r="H75" s="81">
        <f t="shared" si="37"/>
        <v>1472.8</v>
      </c>
      <c r="I75" s="81">
        <f t="shared" si="37"/>
        <v>1472.8</v>
      </c>
      <c r="J75" s="81">
        <f t="shared" si="37"/>
        <v>1472.8</v>
      </c>
      <c r="K75" s="81">
        <f t="shared" si="37"/>
        <v>1472.8</v>
      </c>
      <c r="L75" s="81">
        <f t="shared" si="37"/>
        <v>1472.8</v>
      </c>
      <c r="M75" s="81">
        <f t="shared" si="37"/>
        <v>1472.8</v>
      </c>
      <c r="N75" s="81">
        <f t="shared" si="37"/>
        <v>1472.8</v>
      </c>
      <c r="O75" s="81">
        <f t="shared" si="37"/>
        <v>1472.8</v>
      </c>
      <c r="P75" s="81">
        <f t="shared" si="37"/>
        <v>1472.8</v>
      </c>
      <c r="Q75" s="81">
        <f t="shared" si="34"/>
        <v>13991.599999999999</v>
      </c>
      <c r="R75" s="28"/>
      <c r="S75" s="130"/>
      <c r="T75" s="83">
        <f>IF(ISNUMBER(G66)=FALSE,'Conversion factors BATT'!$B61*1000*'Conversion factors BATT'!$B$17*'Conversion factors BATT'!$B$6+'Conversion factors BATT'!$B64,IF(G66="",'Conversion factors BATT'!$B61*1000*'Conversion factors BATT'!$B$17*'Conversion factors BATT'!$B$6+'Conversion factors BATT'!$B64,G66))*G75</f>
        <v>25114.480159999999</v>
      </c>
      <c r="U75" s="83">
        <f>IF(ISNUMBER(H66)=FALSE,'Conversion factors BATT'!$B61*1000*'Conversion factors BATT'!$B$17*'Conversion factors BATT'!$B$6+'Conversion factors BATT'!$B64,IF(H66="",'Conversion factors BATT'!$B61*1000*'Conversion factors BATT'!$B$17*'Conversion factors BATT'!$B$6+'Conversion factors BATT'!$B64,H66))*H75</f>
        <v>50228.960319999998</v>
      </c>
      <c r="V75" s="83">
        <f>IF(ISNUMBER(I66)=FALSE,'Conversion factors BATT'!$B61*1000*'Conversion factors BATT'!$B$17*'Conversion factors BATT'!$B$6+'Conversion factors BATT'!$B64,IF(I66="",'Conversion factors BATT'!$B61*1000*'Conversion factors BATT'!$B$17*'Conversion factors BATT'!$B$6+'Conversion factors BATT'!$B64,I66))*I75</f>
        <v>50228.960319999998</v>
      </c>
      <c r="W75" s="83">
        <f>IF(ISNUMBER(J66)=FALSE,'Conversion factors BATT'!$B61*1000*'Conversion factors BATT'!$B$17*'Conversion factors BATT'!$B$6+'Conversion factors BATT'!$B64,IF(J66="",'Conversion factors BATT'!$B61*1000*'Conversion factors BATT'!$B$17*'Conversion factors BATT'!$B$6+'Conversion factors BATT'!$B64,J66))*J75</f>
        <v>50228.960319999998</v>
      </c>
      <c r="X75" s="83">
        <f>IF(ISNUMBER(K66)=FALSE,'Conversion factors BATT'!$B61*1000*'Conversion factors BATT'!$B$17*'Conversion factors BATT'!$B$6+'Conversion factors BATT'!$B64,IF(K66="",'Conversion factors BATT'!$B61*1000*'Conversion factors BATT'!$B$17*'Conversion factors BATT'!$B$6+'Conversion factors BATT'!$B64,K66))*K75</f>
        <v>50228.960319999998</v>
      </c>
      <c r="Y75" s="83">
        <f>IF(ISNUMBER(L66)=FALSE,'Conversion factors BATT'!$B61*1000*'Conversion factors BATT'!$B$17*'Conversion factors BATT'!$B$6+'Conversion factors BATT'!$B64,IF(L66="",'Conversion factors BATT'!$B61*1000*'Conversion factors BATT'!$B$17*'Conversion factors BATT'!$B$6+'Conversion factors BATT'!$B64,L66))*L75</f>
        <v>50228.960319999998</v>
      </c>
      <c r="Z75" s="83">
        <f>IF(ISNUMBER(M66)=FALSE,'Conversion factors BATT'!$B61*1000*'Conversion factors BATT'!$B$17*'Conversion factors BATT'!$B$6+'Conversion factors BATT'!$B64,IF(M66="",'Conversion factors BATT'!$B61*1000*'Conversion factors BATT'!$B$17*'Conversion factors BATT'!$B$6+'Conversion factors BATT'!$B64,M66))*M75</f>
        <v>50228.960319999998</v>
      </c>
      <c r="AA75" s="83">
        <f>IF(ISNUMBER(N66)=FALSE,'Conversion factors BATT'!$B61*1000*'Conversion factors BATT'!$B$17*'Conversion factors BATT'!$B$6+'Conversion factors BATT'!$B64,IF(N66="",'Conversion factors BATT'!$B61*1000*'Conversion factors BATT'!$B$17*'Conversion factors BATT'!$B$6+'Conversion factors BATT'!$B64,N66))*N75</f>
        <v>50228.960319999998</v>
      </c>
      <c r="AB75" s="83">
        <f>IF(ISNUMBER(O66)=FALSE,'Conversion factors BATT'!$B61*1000*'Conversion factors BATT'!$B$17*'Conversion factors BATT'!$B$6+'Conversion factors BATT'!$B64,IF(O66="",'Conversion factors BATT'!$B61*1000*'Conversion factors BATT'!$B$17*'Conversion factors BATT'!$B$6+'Conversion factors BATT'!$B64,O66))*O75</f>
        <v>50228.960319999998</v>
      </c>
      <c r="AC75" s="83">
        <f>IF(ISNUMBER(P66)=FALSE,'Conversion factors BATT'!$B61*1000*'Conversion factors BATT'!$B$17*'Conversion factors BATT'!$B$6+'Conversion factors BATT'!$B64,IF(P66="",'Conversion factors BATT'!$B61*1000*'Conversion factors BATT'!$B$17*'Conversion factors BATT'!$B$6+'Conversion factors BATT'!$B64,P66))*P75</f>
        <v>50228.960319999998</v>
      </c>
      <c r="AD75" s="83">
        <f t="shared" si="32"/>
        <v>477175.12304000003</v>
      </c>
      <c r="AE75" s="28"/>
      <c r="AF75" s="26"/>
      <c r="AG75" s="28"/>
      <c r="AH75" s="28"/>
      <c r="AI75" s="28"/>
      <c r="AJ75" s="28"/>
      <c r="AK75" s="26"/>
    </row>
    <row r="76" spans="1:37" ht="56.25" customHeight="1" thickBot="1" x14ac:dyDescent="0.4">
      <c r="A76" s="29" t="s">
        <v>637</v>
      </c>
      <c r="B76" s="29" t="s">
        <v>643</v>
      </c>
      <c r="C76" s="128" t="s">
        <v>337</v>
      </c>
      <c r="D76" s="97" t="s">
        <v>352</v>
      </c>
      <c r="E76" s="23" t="s">
        <v>135</v>
      </c>
      <c r="F76" s="26" t="s">
        <v>107</v>
      </c>
      <c r="G76" s="81">
        <f t="shared" ref="G76:P76" si="38">(1)*G51*G$22</f>
        <v>677.6</v>
      </c>
      <c r="H76" s="81">
        <f t="shared" si="38"/>
        <v>1355.2</v>
      </c>
      <c r="I76" s="81">
        <f t="shared" si="38"/>
        <v>1355.2</v>
      </c>
      <c r="J76" s="81">
        <f t="shared" si="38"/>
        <v>1355.2</v>
      </c>
      <c r="K76" s="81">
        <f t="shared" si="38"/>
        <v>1355.2</v>
      </c>
      <c r="L76" s="81">
        <f t="shared" si="38"/>
        <v>1355.2</v>
      </c>
      <c r="M76" s="81">
        <f t="shared" si="38"/>
        <v>1355.2</v>
      </c>
      <c r="N76" s="81">
        <f t="shared" si="38"/>
        <v>1355.2</v>
      </c>
      <c r="O76" s="81">
        <f t="shared" si="38"/>
        <v>1355.2</v>
      </c>
      <c r="P76" s="81">
        <f t="shared" si="38"/>
        <v>1355.2</v>
      </c>
      <c r="Q76" s="81">
        <f t="shared" si="34"/>
        <v>12874.400000000001</v>
      </c>
      <c r="R76" s="28"/>
      <c r="S76" s="130"/>
      <c r="T76" s="83">
        <f>IF(ISNUMBER(G67)=FALSE,'Conversion factors BATT'!$B62*1000*'Conversion factors BATT'!$B$17*'Conversion factors BATT'!$B$6+'Conversion factors BATT'!$B65,IF(G67="",'Conversion factors BATT'!$B62*1000*'Conversion factors BATT'!$B$17*'Conversion factors BATT'!$B$6+'Conversion factors BATT'!$B65,G67))*G76</f>
        <v>8688.1872000000003</v>
      </c>
      <c r="U76" s="83">
        <f>IF(ISNUMBER(H67)=FALSE,'Conversion factors BATT'!$B62*1000*'Conversion factors BATT'!$B$17*'Conversion factors BATT'!$B$6+'Conversion factors BATT'!$B65,IF(H67="",'Conversion factors BATT'!$B62*1000*'Conversion factors BATT'!$B$17*'Conversion factors BATT'!$B$6+'Conversion factors BATT'!$B65,H67))*H76</f>
        <v>17376.374400000001</v>
      </c>
      <c r="V76" s="83">
        <f>IF(ISNUMBER(I67)=FALSE,'Conversion factors BATT'!$B62*1000*'Conversion factors BATT'!$B$17*'Conversion factors BATT'!$B$6+'Conversion factors BATT'!$B65,IF(I67="",'Conversion factors BATT'!$B62*1000*'Conversion factors BATT'!$B$17*'Conversion factors BATT'!$B$6+'Conversion factors BATT'!$B65,I67))*I76</f>
        <v>17376.374400000001</v>
      </c>
      <c r="W76" s="83">
        <f>IF(ISNUMBER(J67)=FALSE,'Conversion factors BATT'!$B62*1000*'Conversion factors BATT'!$B$17*'Conversion factors BATT'!$B$6+'Conversion factors BATT'!$B65,IF(J67="",'Conversion factors BATT'!$B62*1000*'Conversion factors BATT'!$B$17*'Conversion factors BATT'!$B$6+'Conversion factors BATT'!$B65,J67))*J76</f>
        <v>17376.374400000001</v>
      </c>
      <c r="X76" s="83">
        <f>IF(ISNUMBER(K67)=FALSE,'Conversion factors BATT'!$B62*1000*'Conversion factors BATT'!$B$17*'Conversion factors BATT'!$B$6+'Conversion factors BATT'!$B65,IF(K67="",'Conversion factors BATT'!$B62*1000*'Conversion factors BATT'!$B$17*'Conversion factors BATT'!$B$6+'Conversion factors BATT'!$B65,K67))*K76</f>
        <v>17376.374400000001</v>
      </c>
      <c r="Y76" s="83">
        <f>IF(ISNUMBER(L67)=FALSE,'Conversion factors BATT'!$B62*1000*'Conversion factors BATT'!$B$17*'Conversion factors BATT'!$B$6+'Conversion factors BATT'!$B65,IF(L67="",'Conversion factors BATT'!$B62*1000*'Conversion factors BATT'!$B$17*'Conversion factors BATT'!$B$6+'Conversion factors BATT'!$B65,L67))*L76</f>
        <v>17376.374400000001</v>
      </c>
      <c r="Z76" s="83">
        <f>IF(ISNUMBER(M67)=FALSE,'Conversion factors BATT'!$B62*1000*'Conversion factors BATT'!$B$17*'Conversion factors BATT'!$B$6+'Conversion factors BATT'!$B65,IF(M67="",'Conversion factors BATT'!$B62*1000*'Conversion factors BATT'!$B$17*'Conversion factors BATT'!$B$6+'Conversion factors BATT'!$B65,M67))*M76</f>
        <v>17376.374400000001</v>
      </c>
      <c r="AA76" s="83">
        <f>IF(ISNUMBER(N67)=FALSE,'Conversion factors BATT'!$B62*1000*'Conversion factors BATT'!$B$17*'Conversion factors BATT'!$B$6+'Conversion factors BATT'!$B65,IF(N67="",'Conversion factors BATT'!$B62*1000*'Conversion factors BATT'!$B$17*'Conversion factors BATT'!$B$6+'Conversion factors BATT'!$B65,N67))*N76</f>
        <v>17376.374400000001</v>
      </c>
      <c r="AB76" s="83">
        <f>IF(ISNUMBER(O67)=FALSE,'Conversion factors BATT'!$B62*1000*'Conversion factors BATT'!$B$17*'Conversion factors BATT'!$B$6+'Conversion factors BATT'!$B65,IF(O67="",'Conversion factors BATT'!$B62*1000*'Conversion factors BATT'!$B$17*'Conversion factors BATT'!$B$6+'Conversion factors BATT'!$B65,O67))*O76</f>
        <v>17376.374400000001</v>
      </c>
      <c r="AC76" s="83">
        <f>IF(ISNUMBER(P67)=FALSE,'Conversion factors BATT'!$B62*1000*'Conversion factors BATT'!$B$17*'Conversion factors BATT'!$B$6+'Conversion factors BATT'!$B65,IF(P67="",'Conversion factors BATT'!$B62*1000*'Conversion factors BATT'!$B$17*'Conversion factors BATT'!$B$6+'Conversion factors BATT'!$B65,P67))*P76</f>
        <v>17376.374400000001</v>
      </c>
      <c r="AD76" s="83">
        <f t="shared" si="32"/>
        <v>165075.55679999999</v>
      </c>
      <c r="AE76" s="28"/>
      <c r="AF76" s="26"/>
      <c r="AG76" s="28"/>
      <c r="AH76" s="28"/>
      <c r="AI76" s="28"/>
      <c r="AJ76" s="28"/>
      <c r="AK76" s="26"/>
    </row>
    <row r="77" spans="1:37" ht="56.25" customHeight="1" thickBot="1" x14ac:dyDescent="0.4">
      <c r="A77" s="29" t="s">
        <v>637</v>
      </c>
      <c r="B77" s="29" t="s">
        <v>644</v>
      </c>
      <c r="C77" s="128" t="s">
        <v>338</v>
      </c>
      <c r="D77" s="97" t="s">
        <v>353</v>
      </c>
      <c r="E77" s="23" t="s">
        <v>135</v>
      </c>
      <c r="F77" s="26" t="s">
        <v>107</v>
      </c>
      <c r="G77" s="81">
        <f t="shared" ref="G77:P77" si="39">(1)*G52*G$22</f>
        <v>1925.2</v>
      </c>
      <c r="H77" s="81">
        <f t="shared" si="39"/>
        <v>3850.4</v>
      </c>
      <c r="I77" s="81">
        <f t="shared" si="39"/>
        <v>3850.4</v>
      </c>
      <c r="J77" s="81">
        <f t="shared" si="39"/>
        <v>3850.4</v>
      </c>
      <c r="K77" s="81">
        <f t="shared" si="39"/>
        <v>3850.4</v>
      </c>
      <c r="L77" s="81">
        <f t="shared" si="39"/>
        <v>3850.4</v>
      </c>
      <c r="M77" s="81">
        <f t="shared" si="39"/>
        <v>3850.4</v>
      </c>
      <c r="N77" s="81">
        <f t="shared" si="39"/>
        <v>3850.4</v>
      </c>
      <c r="O77" s="81">
        <f t="shared" si="39"/>
        <v>3850.4</v>
      </c>
      <c r="P77" s="81">
        <f t="shared" si="39"/>
        <v>3850.4</v>
      </c>
      <c r="Q77" s="81">
        <f t="shared" si="34"/>
        <v>36578.800000000003</v>
      </c>
      <c r="R77" s="28"/>
      <c r="S77" s="130"/>
      <c r="T77" s="83">
        <f>IF(ISNUMBER(G68)=FALSE,'Conversion factors BATT'!$B63*1000*'Conversion factors BATT'!$B$17*'Conversion factors BATT'!$B$6+'Conversion factors BATT'!$B66,IF(G68="",'Conversion factors BATT'!$B63*1000*'Conversion factors BATT'!$B$17*'Conversion factors BATT'!$B$6+'Conversion factors BATT'!$B66,G68))*G77</f>
        <v>18670.589600000003</v>
      </c>
      <c r="U77" s="83">
        <f>IF(ISNUMBER(H68)=FALSE,'Conversion factors BATT'!$B63*1000*'Conversion factors BATT'!$B$17*'Conversion factors BATT'!$B$6+'Conversion factors BATT'!$B66,IF(H68="",'Conversion factors BATT'!$B63*1000*'Conversion factors BATT'!$B$17*'Conversion factors BATT'!$B$6+'Conversion factors BATT'!$B66,H68))*H77</f>
        <v>37341.179200000006</v>
      </c>
      <c r="V77" s="83">
        <f>IF(ISNUMBER(I68)=FALSE,'Conversion factors BATT'!$B63*1000*'Conversion factors BATT'!$B$17*'Conversion factors BATT'!$B$6+'Conversion factors BATT'!$B66,IF(I68="",'Conversion factors BATT'!$B63*1000*'Conversion factors BATT'!$B$17*'Conversion factors BATT'!$B$6+'Conversion factors BATT'!$B66,I68))*I77</f>
        <v>37341.179200000006</v>
      </c>
      <c r="W77" s="83">
        <f>IF(ISNUMBER(J68)=FALSE,'Conversion factors BATT'!$B63*1000*'Conversion factors BATT'!$B$17*'Conversion factors BATT'!$B$6+'Conversion factors BATT'!$B66,IF(J68="",'Conversion factors BATT'!$B63*1000*'Conversion factors BATT'!$B$17*'Conversion factors BATT'!$B$6+'Conversion factors BATT'!$B66,J68))*J77</f>
        <v>37341.179200000006</v>
      </c>
      <c r="X77" s="83">
        <f>IF(ISNUMBER(K68)=FALSE,'Conversion factors BATT'!$B63*1000*'Conversion factors BATT'!$B$17*'Conversion factors BATT'!$B$6+'Conversion factors BATT'!$B66,IF(K68="",'Conversion factors BATT'!$B63*1000*'Conversion factors BATT'!$B$17*'Conversion factors BATT'!$B$6+'Conversion factors BATT'!$B66,K68))*K77</f>
        <v>37341.179200000006</v>
      </c>
      <c r="Y77" s="83">
        <f>IF(ISNUMBER(L68)=FALSE,'Conversion factors BATT'!$B63*1000*'Conversion factors BATT'!$B$17*'Conversion factors BATT'!$B$6+'Conversion factors BATT'!$B66,IF(L68="",'Conversion factors BATT'!$B63*1000*'Conversion factors BATT'!$B$17*'Conversion factors BATT'!$B$6+'Conversion factors BATT'!$B66,L68))*L77</f>
        <v>37341.179200000006</v>
      </c>
      <c r="Z77" s="83">
        <f>IF(ISNUMBER(M68)=FALSE,'Conversion factors BATT'!$B63*1000*'Conversion factors BATT'!$B$17*'Conversion factors BATT'!$B$6+'Conversion factors BATT'!$B66,IF(M68="",'Conversion factors BATT'!$B63*1000*'Conversion factors BATT'!$B$17*'Conversion factors BATT'!$B$6+'Conversion factors BATT'!$B66,M68))*M77</f>
        <v>37341.179200000006</v>
      </c>
      <c r="AA77" s="83">
        <f>IF(ISNUMBER(N68)=FALSE,'Conversion factors BATT'!$B63*1000*'Conversion factors BATT'!$B$17*'Conversion factors BATT'!$B$6+'Conversion factors BATT'!$B66,IF(N68="",'Conversion factors BATT'!$B63*1000*'Conversion factors BATT'!$B$17*'Conversion factors BATT'!$B$6+'Conversion factors BATT'!$B66,N68))*N77</f>
        <v>37341.179200000006</v>
      </c>
      <c r="AB77" s="83">
        <f>IF(ISNUMBER(O68)=FALSE,'Conversion factors BATT'!$B63*1000*'Conversion factors BATT'!$B$17*'Conversion factors BATT'!$B$6+'Conversion factors BATT'!$B66,IF(O68="",'Conversion factors BATT'!$B63*1000*'Conversion factors BATT'!$B$17*'Conversion factors BATT'!$B$6+'Conversion factors BATT'!$B66,O68))*O77</f>
        <v>37341.179200000006</v>
      </c>
      <c r="AC77" s="83">
        <f>IF(ISNUMBER(P68)=FALSE,'Conversion factors BATT'!$B63*1000*'Conversion factors BATT'!$B$17*'Conversion factors BATT'!$B$6+'Conversion factors BATT'!$B66,IF(P68="",'Conversion factors BATT'!$B63*1000*'Conversion factors BATT'!$B$17*'Conversion factors BATT'!$B$6+'Conversion factors BATT'!$B66,P68))*P77</f>
        <v>37341.179200000006</v>
      </c>
      <c r="AD77" s="83">
        <f t="shared" si="32"/>
        <v>354741.20240000007</v>
      </c>
      <c r="AE77" s="28"/>
      <c r="AF77" s="26"/>
      <c r="AG77" s="28"/>
      <c r="AH77" s="28"/>
      <c r="AI77" s="28"/>
      <c r="AJ77" s="28"/>
      <c r="AK77" s="26"/>
    </row>
    <row r="78" spans="1:37" ht="42.65" customHeight="1" thickBot="1" x14ac:dyDescent="0.4">
      <c r="A78" s="109"/>
      <c r="B78" s="109"/>
      <c r="C78" s="110"/>
      <c r="D78" s="111" t="s">
        <v>188</v>
      </c>
      <c r="E78" s="110" t="s">
        <v>158</v>
      </c>
      <c r="F78" s="79"/>
      <c r="G78" s="79"/>
      <c r="H78" s="79"/>
      <c r="I78" s="79"/>
      <c r="J78" s="79"/>
      <c r="K78" s="79"/>
      <c r="L78" s="79"/>
      <c r="M78" s="79"/>
      <c r="N78" s="79"/>
      <c r="O78" s="79"/>
      <c r="P78" s="79"/>
      <c r="Q78" s="79"/>
      <c r="R78" s="79"/>
      <c r="S78" s="85"/>
      <c r="T78" s="83">
        <f>SUM(T71:T77)</f>
        <v>130754.11296000001</v>
      </c>
      <c r="U78" s="83">
        <f t="shared" ref="U78:AD78" si="40">SUM(U71:U77)</f>
        <v>261508.22592000003</v>
      </c>
      <c r="V78" s="83">
        <f t="shared" si="40"/>
        <v>261508.22592000003</v>
      </c>
      <c r="W78" s="83">
        <f t="shared" si="40"/>
        <v>261508.22592000003</v>
      </c>
      <c r="X78" s="83">
        <f t="shared" si="40"/>
        <v>261508.22592000003</v>
      </c>
      <c r="Y78" s="83">
        <f t="shared" si="40"/>
        <v>261508.22592000003</v>
      </c>
      <c r="Z78" s="83">
        <f t="shared" si="40"/>
        <v>261508.22592000003</v>
      </c>
      <c r="AA78" s="83">
        <f t="shared" si="40"/>
        <v>261508.22592000003</v>
      </c>
      <c r="AB78" s="83">
        <f t="shared" si="40"/>
        <v>261508.22592000003</v>
      </c>
      <c r="AC78" s="83">
        <f t="shared" si="40"/>
        <v>261508.22592000003</v>
      </c>
      <c r="AD78" s="83">
        <f t="shared" si="40"/>
        <v>2484328.1462399997</v>
      </c>
      <c r="AE78" s="28"/>
      <c r="AF78" s="26"/>
      <c r="AG78" s="28"/>
      <c r="AH78" s="28"/>
      <c r="AI78" s="28"/>
      <c r="AJ78" s="28"/>
      <c r="AK78" s="26"/>
    </row>
    <row r="79" spans="1:37" ht="13" thickBot="1" x14ac:dyDescent="0.4"/>
    <row r="80" spans="1:37" ht="26.15" customHeight="1" thickBot="1" x14ac:dyDescent="0.4">
      <c r="A80" s="112" t="s">
        <v>683</v>
      </c>
      <c r="B80" s="113"/>
      <c r="C80" s="113"/>
      <c r="D80" s="113"/>
      <c r="E80" s="113"/>
      <c r="F80" s="113"/>
      <c r="G80" s="113"/>
      <c r="H80" s="113"/>
      <c r="I80" s="113"/>
      <c r="J80" s="113"/>
      <c r="K80" s="113"/>
      <c r="L80" s="113"/>
      <c r="M80" s="113"/>
      <c r="N80" s="113"/>
      <c r="O80" s="113"/>
      <c r="P80" s="113"/>
      <c r="Q80" s="113"/>
      <c r="R80" s="113"/>
      <c r="S80" s="114"/>
      <c r="T80" s="114"/>
      <c r="U80" s="114"/>
      <c r="V80" s="114"/>
      <c r="W80" s="114"/>
      <c r="X80" s="114"/>
      <c r="Y80" s="114"/>
      <c r="Z80" s="114"/>
      <c r="AA80" s="114"/>
      <c r="AB80" s="114"/>
      <c r="AC80" s="114"/>
      <c r="AD80" s="114"/>
      <c r="AE80" s="114"/>
      <c r="AF80" s="114"/>
      <c r="AG80" s="115"/>
      <c r="AH80" s="115"/>
      <c r="AI80" s="113"/>
      <c r="AJ80" s="113"/>
      <c r="AK80" s="115"/>
    </row>
    <row r="81" spans="1:37" ht="31" customHeight="1" thickBot="1" x14ac:dyDescent="0.4">
      <c r="A81" s="23" t="s">
        <v>435</v>
      </c>
      <c r="B81" s="23" t="s">
        <v>436</v>
      </c>
      <c r="C81" s="23" t="s">
        <v>134</v>
      </c>
      <c r="D81" s="22" t="s">
        <v>482</v>
      </c>
      <c r="E81" s="23" t="s">
        <v>175</v>
      </c>
      <c r="F81" s="26" t="s">
        <v>73</v>
      </c>
      <c r="G81" s="91">
        <v>0</v>
      </c>
      <c r="H81" s="91">
        <v>0</v>
      </c>
      <c r="I81" s="91">
        <v>0</v>
      </c>
      <c r="J81" s="91">
        <v>0</v>
      </c>
      <c r="K81" s="91">
        <v>0.06</v>
      </c>
      <c r="L81" s="91">
        <v>0.06</v>
      </c>
      <c r="M81" s="91">
        <v>0.06</v>
      </c>
      <c r="N81" s="91">
        <v>0.06</v>
      </c>
      <c r="O81" s="91">
        <v>0.06</v>
      </c>
      <c r="P81" s="91">
        <v>0.12</v>
      </c>
      <c r="Q81" s="28"/>
      <c r="R81" s="164" t="s">
        <v>802</v>
      </c>
      <c r="S81" s="28"/>
      <c r="T81" s="28"/>
      <c r="U81" s="28"/>
      <c r="V81" s="28"/>
      <c r="W81" s="28"/>
      <c r="X81" s="28"/>
      <c r="Y81" s="28"/>
      <c r="Z81" s="28"/>
      <c r="AA81" s="28"/>
      <c r="AB81" s="28"/>
      <c r="AC81" s="28"/>
      <c r="AD81" s="28"/>
      <c r="AE81" s="28"/>
      <c r="AF81" s="26" t="s">
        <v>842</v>
      </c>
      <c r="AG81" s="28"/>
      <c r="AH81" s="28" t="s">
        <v>843</v>
      </c>
      <c r="AI81" s="172" t="s">
        <v>848</v>
      </c>
      <c r="AJ81" s="28"/>
      <c r="AK81" s="26" t="s">
        <v>840</v>
      </c>
    </row>
    <row r="82" spans="1:37" ht="31" customHeight="1" thickBot="1" x14ac:dyDescent="0.4">
      <c r="A82" s="23" t="s">
        <v>435</v>
      </c>
      <c r="B82" s="23" t="s">
        <v>449</v>
      </c>
      <c r="C82" s="23" t="s">
        <v>148</v>
      </c>
      <c r="D82" s="22" t="s">
        <v>495</v>
      </c>
      <c r="E82" s="23" t="s">
        <v>175</v>
      </c>
      <c r="F82" s="26" t="s">
        <v>73</v>
      </c>
      <c r="G82" s="91">
        <v>0</v>
      </c>
      <c r="H82" s="91">
        <v>0</v>
      </c>
      <c r="I82" s="91">
        <v>0</v>
      </c>
      <c r="J82" s="91">
        <v>0</v>
      </c>
      <c r="K82" s="91">
        <v>0</v>
      </c>
      <c r="L82" s="91">
        <v>0</v>
      </c>
      <c r="M82" s="91">
        <v>0</v>
      </c>
      <c r="N82" s="91">
        <v>0</v>
      </c>
      <c r="O82" s="91">
        <v>0</v>
      </c>
      <c r="P82" s="91">
        <v>0</v>
      </c>
      <c r="Q82" s="28"/>
      <c r="R82" s="28"/>
      <c r="S82" s="28"/>
      <c r="T82" s="28"/>
      <c r="U82" s="28"/>
      <c r="V82" s="28"/>
      <c r="W82" s="28"/>
      <c r="X82" s="28"/>
      <c r="Y82" s="28"/>
      <c r="Z82" s="28"/>
      <c r="AA82" s="28"/>
      <c r="AB82" s="28"/>
      <c r="AC82" s="28"/>
      <c r="AD82" s="28"/>
      <c r="AE82" s="28"/>
      <c r="AF82" s="26"/>
      <c r="AG82" s="28"/>
      <c r="AH82" s="28"/>
      <c r="AI82" s="28"/>
      <c r="AJ82" s="28"/>
      <c r="AK82" s="26"/>
    </row>
    <row r="83" spans="1:37" ht="31" customHeight="1" thickBot="1" x14ac:dyDescent="0.4">
      <c r="A83" s="23" t="s">
        <v>435</v>
      </c>
      <c r="B83" s="23" t="s">
        <v>437</v>
      </c>
      <c r="C83" s="23" t="s">
        <v>147</v>
      </c>
      <c r="D83" s="22" t="s">
        <v>483</v>
      </c>
      <c r="E83" s="23" t="s">
        <v>175</v>
      </c>
      <c r="F83" s="26" t="s">
        <v>73</v>
      </c>
      <c r="G83" s="91">
        <v>0</v>
      </c>
      <c r="H83" s="91">
        <v>0</v>
      </c>
      <c r="I83" s="91">
        <v>0</v>
      </c>
      <c r="J83" s="91">
        <v>0</v>
      </c>
      <c r="K83" s="91">
        <v>0</v>
      </c>
      <c r="L83" s="91">
        <v>0</v>
      </c>
      <c r="M83" s="91">
        <v>0</v>
      </c>
      <c r="N83" s="91">
        <v>0</v>
      </c>
      <c r="O83" s="91">
        <v>0</v>
      </c>
      <c r="P83" s="91">
        <v>0</v>
      </c>
      <c r="Q83" s="28"/>
      <c r="R83" s="28"/>
      <c r="S83" s="28"/>
      <c r="T83" s="28"/>
      <c r="U83" s="28"/>
      <c r="V83" s="28"/>
      <c r="W83" s="28"/>
      <c r="X83" s="28"/>
      <c r="Y83" s="28"/>
      <c r="Z83" s="28"/>
      <c r="AA83" s="28"/>
      <c r="AB83" s="28"/>
      <c r="AC83" s="28"/>
      <c r="AD83" s="28"/>
      <c r="AE83" s="28"/>
      <c r="AF83" s="26"/>
      <c r="AG83" s="28"/>
      <c r="AH83" s="28"/>
      <c r="AI83" s="28"/>
      <c r="AJ83" s="28"/>
      <c r="AK83" s="26"/>
    </row>
    <row r="84" spans="1:37" ht="31" customHeight="1" thickBot="1" x14ac:dyDescent="0.4">
      <c r="A84" s="23" t="s">
        <v>435</v>
      </c>
      <c r="B84" s="23" t="s">
        <v>438</v>
      </c>
      <c r="C84" s="23" t="s">
        <v>136</v>
      </c>
      <c r="D84" s="22" t="s">
        <v>484</v>
      </c>
      <c r="E84" s="23" t="s">
        <v>175</v>
      </c>
      <c r="F84" s="26" t="s">
        <v>73</v>
      </c>
      <c r="G84" s="91">
        <v>0</v>
      </c>
      <c r="H84" s="91">
        <v>0</v>
      </c>
      <c r="I84" s="91">
        <v>0</v>
      </c>
      <c r="J84" s="91">
        <v>0</v>
      </c>
      <c r="K84" s="91">
        <v>0</v>
      </c>
      <c r="L84" s="91">
        <v>0</v>
      </c>
      <c r="M84" s="91">
        <v>0</v>
      </c>
      <c r="N84" s="91">
        <v>0</v>
      </c>
      <c r="O84" s="91">
        <v>0</v>
      </c>
      <c r="P84" s="91">
        <v>0</v>
      </c>
      <c r="Q84" s="28"/>
      <c r="R84" s="28"/>
      <c r="S84" s="28"/>
      <c r="T84" s="28"/>
      <c r="U84" s="28"/>
      <c r="V84" s="28"/>
      <c r="W84" s="28"/>
      <c r="X84" s="28"/>
      <c r="Y84" s="28"/>
      <c r="Z84" s="28"/>
      <c r="AA84" s="28"/>
      <c r="AB84" s="28"/>
      <c r="AC84" s="28"/>
      <c r="AD84" s="28"/>
      <c r="AE84" s="28"/>
      <c r="AF84" s="26"/>
      <c r="AG84" s="28"/>
      <c r="AH84" s="28"/>
      <c r="AI84" s="28"/>
      <c r="AJ84" s="28"/>
      <c r="AK84" s="26"/>
    </row>
    <row r="85" spans="1:37" ht="31" customHeight="1" thickBot="1" x14ac:dyDescent="0.4">
      <c r="A85" s="23" t="s">
        <v>435</v>
      </c>
      <c r="B85" s="23" t="s">
        <v>439</v>
      </c>
      <c r="C85" s="23" t="s">
        <v>137</v>
      </c>
      <c r="D85" s="22" t="s">
        <v>485</v>
      </c>
      <c r="E85" s="23" t="s">
        <v>175</v>
      </c>
      <c r="F85" s="26" t="s">
        <v>73</v>
      </c>
      <c r="G85" s="91">
        <v>0</v>
      </c>
      <c r="H85" s="91">
        <v>0</v>
      </c>
      <c r="I85" s="91">
        <v>0</v>
      </c>
      <c r="J85" s="91">
        <v>0</v>
      </c>
      <c r="K85" s="91">
        <v>0</v>
      </c>
      <c r="L85" s="91">
        <v>0</v>
      </c>
      <c r="M85" s="91">
        <v>0</v>
      </c>
      <c r="N85" s="91">
        <v>0</v>
      </c>
      <c r="O85" s="91">
        <v>0</v>
      </c>
      <c r="P85" s="91">
        <v>0</v>
      </c>
      <c r="Q85" s="28"/>
      <c r="R85" s="28"/>
      <c r="S85" s="28"/>
      <c r="T85" s="28"/>
      <c r="U85" s="28"/>
      <c r="V85" s="28"/>
      <c r="W85" s="28"/>
      <c r="X85" s="28"/>
      <c r="Y85" s="28"/>
      <c r="Z85" s="28"/>
      <c r="AA85" s="28"/>
      <c r="AB85" s="28"/>
      <c r="AC85" s="28"/>
      <c r="AD85" s="28"/>
      <c r="AE85" s="28"/>
      <c r="AF85" s="26"/>
      <c r="AG85" s="28"/>
      <c r="AH85" s="28"/>
      <c r="AI85" s="28"/>
      <c r="AJ85" s="28"/>
      <c r="AK85" s="26"/>
    </row>
    <row r="86" spans="1:37" ht="31" customHeight="1" thickBot="1" x14ac:dyDescent="0.4">
      <c r="A86" s="23" t="s">
        <v>435</v>
      </c>
      <c r="B86" s="23" t="s">
        <v>524</v>
      </c>
      <c r="C86" s="23" t="s">
        <v>523</v>
      </c>
      <c r="D86" s="22" t="s">
        <v>525</v>
      </c>
      <c r="E86" s="23" t="s">
        <v>175</v>
      </c>
      <c r="F86" s="26" t="s">
        <v>73</v>
      </c>
      <c r="G86" s="91">
        <v>0</v>
      </c>
      <c r="H86" s="91">
        <v>0</v>
      </c>
      <c r="I86" s="91">
        <v>0</v>
      </c>
      <c r="J86" s="91">
        <v>0</v>
      </c>
      <c r="K86" s="91">
        <v>0</v>
      </c>
      <c r="L86" s="91">
        <v>0</v>
      </c>
      <c r="M86" s="91">
        <v>0</v>
      </c>
      <c r="N86" s="91">
        <v>0</v>
      </c>
      <c r="O86" s="91">
        <v>0</v>
      </c>
      <c r="P86" s="91">
        <v>0</v>
      </c>
      <c r="Q86" s="28"/>
      <c r="R86" s="28"/>
      <c r="S86" s="28"/>
      <c r="T86" s="28"/>
      <c r="U86" s="28"/>
      <c r="V86" s="28"/>
      <c r="W86" s="28"/>
      <c r="X86" s="28"/>
      <c r="Y86" s="28"/>
      <c r="Z86" s="28"/>
      <c r="AA86" s="28"/>
      <c r="AB86" s="28"/>
      <c r="AC86" s="28"/>
      <c r="AD86" s="28"/>
      <c r="AE86" s="28"/>
      <c r="AF86" s="26"/>
      <c r="AG86" s="28"/>
      <c r="AH86" s="28"/>
      <c r="AI86" s="28"/>
      <c r="AJ86" s="28"/>
      <c r="AK86" s="26"/>
    </row>
    <row r="87" spans="1:37" ht="31" customHeight="1" thickBot="1" x14ac:dyDescent="0.4">
      <c r="A87" s="23" t="s">
        <v>435</v>
      </c>
      <c r="B87" s="23" t="s">
        <v>448</v>
      </c>
      <c r="C87" s="23" t="s">
        <v>146</v>
      </c>
      <c r="D87" s="22" t="s">
        <v>494</v>
      </c>
      <c r="E87" s="23" t="s">
        <v>175</v>
      </c>
      <c r="F87" s="26" t="s">
        <v>73</v>
      </c>
      <c r="G87" s="91">
        <v>0</v>
      </c>
      <c r="H87" s="91">
        <v>0</v>
      </c>
      <c r="I87" s="91">
        <v>0</v>
      </c>
      <c r="J87" s="91">
        <v>0</v>
      </c>
      <c r="K87" s="91">
        <v>0</v>
      </c>
      <c r="L87" s="91">
        <v>0</v>
      </c>
      <c r="M87" s="91">
        <v>0</v>
      </c>
      <c r="N87" s="91">
        <v>0</v>
      </c>
      <c r="O87" s="91">
        <v>0</v>
      </c>
      <c r="P87" s="91">
        <v>0</v>
      </c>
      <c r="Q87" s="28"/>
      <c r="R87" s="28"/>
      <c r="S87" s="28"/>
      <c r="T87" s="28"/>
      <c r="U87" s="28"/>
      <c r="V87" s="28"/>
      <c r="W87" s="28"/>
      <c r="X87" s="28"/>
      <c r="Y87" s="28"/>
      <c r="Z87" s="28"/>
      <c r="AA87" s="28"/>
      <c r="AB87" s="28"/>
      <c r="AC87" s="28"/>
      <c r="AD87" s="28"/>
      <c r="AE87" s="28"/>
      <c r="AF87" s="26"/>
      <c r="AG87" s="28"/>
      <c r="AH87" s="28"/>
      <c r="AI87" s="28"/>
      <c r="AJ87" s="28"/>
      <c r="AK87" s="26"/>
    </row>
    <row r="88" spans="1:37" ht="31" customHeight="1" thickBot="1" x14ac:dyDescent="0.4">
      <c r="A88" s="23" t="s">
        <v>435</v>
      </c>
      <c r="B88" s="23" t="s">
        <v>533</v>
      </c>
      <c r="C88" s="23" t="s">
        <v>532</v>
      </c>
      <c r="D88" s="22" t="s">
        <v>534</v>
      </c>
      <c r="E88" s="23" t="s">
        <v>175</v>
      </c>
      <c r="F88" s="26" t="s">
        <v>73</v>
      </c>
      <c r="G88" s="91">
        <v>0</v>
      </c>
      <c r="H88" s="91">
        <v>0</v>
      </c>
      <c r="I88" s="91">
        <v>0</v>
      </c>
      <c r="J88" s="91">
        <v>0</v>
      </c>
      <c r="K88" s="91">
        <v>0</v>
      </c>
      <c r="L88" s="91">
        <v>0</v>
      </c>
      <c r="M88" s="91">
        <v>0</v>
      </c>
      <c r="N88" s="91">
        <v>0</v>
      </c>
      <c r="O88" s="91">
        <v>0</v>
      </c>
      <c r="P88" s="91">
        <v>0</v>
      </c>
      <c r="Q88" s="28"/>
      <c r="R88" s="28"/>
      <c r="S88" s="28"/>
      <c r="T88" s="28"/>
      <c r="U88" s="28"/>
      <c r="V88" s="28"/>
      <c r="W88" s="28"/>
      <c r="X88" s="28"/>
      <c r="Y88" s="28"/>
      <c r="Z88" s="28"/>
      <c r="AA88" s="28"/>
      <c r="AB88" s="28"/>
      <c r="AC88" s="28"/>
      <c r="AD88" s="28"/>
      <c r="AE88" s="28"/>
      <c r="AF88" s="26"/>
      <c r="AG88" s="28"/>
      <c r="AH88" s="28"/>
      <c r="AI88" s="28"/>
      <c r="AJ88" s="28"/>
      <c r="AK88" s="26"/>
    </row>
    <row r="89" spans="1:37" ht="31" customHeight="1" thickBot="1" x14ac:dyDescent="0.4">
      <c r="A89" s="23" t="s">
        <v>435</v>
      </c>
      <c r="B89" s="23" t="s">
        <v>440</v>
      </c>
      <c r="C89" s="23" t="s">
        <v>138</v>
      </c>
      <c r="D89" s="22" t="s">
        <v>486</v>
      </c>
      <c r="E89" s="23" t="s">
        <v>175</v>
      </c>
      <c r="F89" s="26" t="s">
        <v>73</v>
      </c>
      <c r="G89" s="91">
        <v>0</v>
      </c>
      <c r="H89" s="91">
        <v>0</v>
      </c>
      <c r="I89" s="91">
        <v>0</v>
      </c>
      <c r="J89" s="91">
        <v>0</v>
      </c>
      <c r="K89" s="91">
        <v>0</v>
      </c>
      <c r="L89" s="91">
        <v>0</v>
      </c>
      <c r="M89" s="91">
        <v>0</v>
      </c>
      <c r="N89" s="91">
        <v>0</v>
      </c>
      <c r="O89" s="91">
        <v>0</v>
      </c>
      <c r="P89" s="91">
        <v>0</v>
      </c>
      <c r="Q89" s="28"/>
      <c r="R89" s="28"/>
      <c r="S89" s="28"/>
      <c r="T89" s="28"/>
      <c r="U89" s="28"/>
      <c r="V89" s="28"/>
      <c r="W89" s="28"/>
      <c r="X89" s="28"/>
      <c r="Y89" s="28"/>
      <c r="Z89" s="28"/>
      <c r="AA89" s="28"/>
      <c r="AB89" s="28"/>
      <c r="AC89" s="28"/>
      <c r="AD89" s="28"/>
      <c r="AE89" s="28"/>
      <c r="AF89" s="26"/>
      <c r="AG89" s="28"/>
      <c r="AH89" s="28"/>
      <c r="AI89" s="28"/>
      <c r="AJ89" s="28"/>
      <c r="AK89" s="26"/>
    </row>
    <row r="90" spans="1:37" ht="31" customHeight="1" thickBot="1" x14ac:dyDescent="0.4">
      <c r="A90" s="23" t="s">
        <v>435</v>
      </c>
      <c r="B90" s="23" t="s">
        <v>441</v>
      </c>
      <c r="C90" s="23" t="s">
        <v>139</v>
      </c>
      <c r="D90" s="22" t="s">
        <v>487</v>
      </c>
      <c r="E90" s="23" t="s">
        <v>175</v>
      </c>
      <c r="F90" s="26" t="s">
        <v>73</v>
      </c>
      <c r="G90" s="91">
        <v>0</v>
      </c>
      <c r="H90" s="91">
        <v>0</v>
      </c>
      <c r="I90" s="91">
        <v>0</v>
      </c>
      <c r="J90" s="91">
        <v>0</v>
      </c>
      <c r="K90" s="91">
        <v>0</v>
      </c>
      <c r="L90" s="91">
        <v>0</v>
      </c>
      <c r="M90" s="91">
        <v>0</v>
      </c>
      <c r="N90" s="91">
        <v>0</v>
      </c>
      <c r="O90" s="91">
        <v>0</v>
      </c>
      <c r="P90" s="91">
        <v>0</v>
      </c>
      <c r="Q90" s="28"/>
      <c r="R90" s="28"/>
      <c r="S90" s="28"/>
      <c r="T90" s="28"/>
      <c r="U90" s="28"/>
      <c r="V90" s="28"/>
      <c r="W90" s="28"/>
      <c r="X90" s="28"/>
      <c r="Y90" s="28"/>
      <c r="Z90" s="28"/>
      <c r="AA90" s="28"/>
      <c r="AB90" s="28"/>
      <c r="AC90" s="28"/>
      <c r="AD90" s="28"/>
      <c r="AE90" s="28"/>
      <c r="AF90" s="26"/>
      <c r="AG90" s="28"/>
      <c r="AH90" s="28"/>
      <c r="AI90" s="28"/>
      <c r="AJ90" s="28"/>
      <c r="AK90" s="26"/>
    </row>
    <row r="91" spans="1:37" ht="31" customHeight="1" thickBot="1" x14ac:dyDescent="0.4">
      <c r="A91" s="23" t="s">
        <v>435</v>
      </c>
      <c r="B91" s="23" t="s">
        <v>442</v>
      </c>
      <c r="C91" s="23" t="s">
        <v>140</v>
      </c>
      <c r="D91" s="22" t="s">
        <v>488</v>
      </c>
      <c r="E91" s="23" t="s">
        <v>175</v>
      </c>
      <c r="F91" s="26" t="s">
        <v>73</v>
      </c>
      <c r="G91" s="91">
        <v>0</v>
      </c>
      <c r="H91" s="91">
        <v>0</v>
      </c>
      <c r="I91" s="91">
        <v>0</v>
      </c>
      <c r="J91" s="91">
        <v>0</v>
      </c>
      <c r="K91" s="91">
        <v>0</v>
      </c>
      <c r="L91" s="91">
        <v>0</v>
      </c>
      <c r="M91" s="91">
        <v>0</v>
      </c>
      <c r="N91" s="91">
        <v>0</v>
      </c>
      <c r="O91" s="91">
        <v>0</v>
      </c>
      <c r="P91" s="91">
        <v>0</v>
      </c>
      <c r="Q91" s="28"/>
      <c r="R91" s="28"/>
      <c r="S91" s="28"/>
      <c r="T91" s="28"/>
      <c r="U91" s="28"/>
      <c r="V91" s="28"/>
      <c r="W91" s="28"/>
      <c r="X91" s="28"/>
      <c r="Y91" s="28"/>
      <c r="Z91" s="28"/>
      <c r="AA91" s="28"/>
      <c r="AB91" s="28"/>
      <c r="AC91" s="28"/>
      <c r="AD91" s="28"/>
      <c r="AE91" s="28"/>
      <c r="AF91" s="26"/>
      <c r="AG91" s="28"/>
      <c r="AH91" s="28"/>
      <c r="AI91" s="28"/>
      <c r="AJ91" s="28"/>
      <c r="AK91" s="26"/>
    </row>
    <row r="92" spans="1:37" ht="31" customHeight="1" thickBot="1" x14ac:dyDescent="0.4">
      <c r="A92" s="23" t="s">
        <v>435</v>
      </c>
      <c r="B92" s="23" t="s">
        <v>443</v>
      </c>
      <c r="C92" s="23" t="s">
        <v>141</v>
      </c>
      <c r="D92" s="22" t="s">
        <v>489</v>
      </c>
      <c r="E92" s="23" t="s">
        <v>175</v>
      </c>
      <c r="F92" s="26" t="s">
        <v>73</v>
      </c>
      <c r="G92" s="91">
        <v>0</v>
      </c>
      <c r="H92" s="91">
        <v>0</v>
      </c>
      <c r="I92" s="91">
        <v>0</v>
      </c>
      <c r="J92" s="91">
        <v>0</v>
      </c>
      <c r="K92" s="91">
        <v>0</v>
      </c>
      <c r="L92" s="91">
        <v>0</v>
      </c>
      <c r="M92" s="91">
        <v>0</v>
      </c>
      <c r="N92" s="91">
        <v>0</v>
      </c>
      <c r="O92" s="91">
        <v>0</v>
      </c>
      <c r="P92" s="91">
        <v>0</v>
      </c>
      <c r="Q92" s="28"/>
      <c r="R92" s="28"/>
      <c r="S92" s="28"/>
      <c r="T92" s="28"/>
      <c r="U92" s="28"/>
      <c r="V92" s="28"/>
      <c r="W92" s="28"/>
      <c r="X92" s="28"/>
      <c r="Y92" s="28"/>
      <c r="Z92" s="28"/>
      <c r="AA92" s="28"/>
      <c r="AB92" s="28"/>
      <c r="AC92" s="28"/>
      <c r="AD92" s="28"/>
      <c r="AE92" s="28"/>
      <c r="AF92" s="26"/>
      <c r="AG92" s="28"/>
      <c r="AH92" s="28"/>
      <c r="AI92" s="28"/>
      <c r="AJ92" s="28"/>
      <c r="AK92" s="26"/>
    </row>
    <row r="93" spans="1:37" ht="31" customHeight="1" thickBot="1" x14ac:dyDescent="0.4">
      <c r="A93" s="23" t="s">
        <v>435</v>
      </c>
      <c r="B93" s="23" t="s">
        <v>444</v>
      </c>
      <c r="C93" s="23" t="s">
        <v>142</v>
      </c>
      <c r="D93" s="22" t="s">
        <v>490</v>
      </c>
      <c r="E93" s="23" t="s">
        <v>175</v>
      </c>
      <c r="F93" s="26" t="s">
        <v>73</v>
      </c>
      <c r="G93" s="91">
        <v>0</v>
      </c>
      <c r="H93" s="91">
        <v>0</v>
      </c>
      <c r="I93" s="91">
        <v>0</v>
      </c>
      <c r="J93" s="91">
        <v>0</v>
      </c>
      <c r="K93" s="91">
        <v>0.16</v>
      </c>
      <c r="L93" s="91">
        <v>0.16</v>
      </c>
      <c r="M93" s="91">
        <v>0.16</v>
      </c>
      <c r="N93" s="91">
        <v>0.16</v>
      </c>
      <c r="O93" s="91">
        <v>0.16</v>
      </c>
      <c r="P93" s="91">
        <v>0.26</v>
      </c>
      <c r="Q93" s="28"/>
      <c r="R93" s="164" t="s">
        <v>802</v>
      </c>
      <c r="S93" s="28"/>
      <c r="T93" s="28"/>
      <c r="U93" s="28"/>
      <c r="V93" s="28"/>
      <c r="W93" s="28"/>
      <c r="X93" s="28"/>
      <c r="Y93" s="28"/>
      <c r="Z93" s="28"/>
      <c r="AA93" s="28"/>
      <c r="AB93" s="28"/>
      <c r="AC93" s="28"/>
      <c r="AD93" s="28"/>
      <c r="AE93" s="28"/>
      <c r="AF93" s="26" t="s">
        <v>842</v>
      </c>
      <c r="AG93" s="28"/>
      <c r="AH93" s="28" t="s">
        <v>843</v>
      </c>
      <c r="AI93" s="172" t="s">
        <v>848</v>
      </c>
      <c r="AJ93" s="28"/>
      <c r="AK93" s="26" t="s">
        <v>840</v>
      </c>
    </row>
    <row r="94" spans="1:37" ht="31" customHeight="1" thickBot="1" x14ac:dyDescent="0.4">
      <c r="A94" s="23" t="s">
        <v>435</v>
      </c>
      <c r="B94" s="23" t="s">
        <v>445</v>
      </c>
      <c r="C94" s="23" t="s">
        <v>143</v>
      </c>
      <c r="D94" s="22" t="s">
        <v>491</v>
      </c>
      <c r="E94" s="23" t="s">
        <v>175</v>
      </c>
      <c r="F94" s="26" t="s">
        <v>73</v>
      </c>
      <c r="G94" s="91">
        <v>0</v>
      </c>
      <c r="H94" s="91">
        <v>0</v>
      </c>
      <c r="I94" s="91">
        <v>0</v>
      </c>
      <c r="J94" s="91">
        <v>0</v>
      </c>
      <c r="K94" s="91">
        <v>0.06</v>
      </c>
      <c r="L94" s="91">
        <v>0.06</v>
      </c>
      <c r="M94" s="91">
        <v>0.06</v>
      </c>
      <c r="N94" s="91">
        <v>0.06</v>
      </c>
      <c r="O94" s="91">
        <v>0.06</v>
      </c>
      <c r="P94" s="91">
        <v>0.15</v>
      </c>
      <c r="Q94" s="28"/>
      <c r="R94" s="164" t="s">
        <v>802</v>
      </c>
      <c r="S94" s="28"/>
      <c r="T94" s="28"/>
      <c r="U94" s="28"/>
      <c r="V94" s="28"/>
      <c r="W94" s="28"/>
      <c r="X94" s="28"/>
      <c r="Y94" s="28"/>
      <c r="Z94" s="28"/>
      <c r="AA94" s="28"/>
      <c r="AB94" s="28"/>
      <c r="AC94" s="28"/>
      <c r="AD94" s="28"/>
      <c r="AE94" s="28"/>
      <c r="AF94" s="26" t="s">
        <v>842</v>
      </c>
      <c r="AG94" s="28"/>
      <c r="AH94" s="28" t="s">
        <v>843</v>
      </c>
      <c r="AI94" s="172" t="s">
        <v>848</v>
      </c>
      <c r="AJ94" s="28"/>
      <c r="AK94" s="26" t="s">
        <v>840</v>
      </c>
    </row>
    <row r="95" spans="1:37" ht="31" customHeight="1" thickBot="1" x14ac:dyDescent="0.4">
      <c r="A95" s="23" t="s">
        <v>435</v>
      </c>
      <c r="B95" s="23" t="s">
        <v>446</v>
      </c>
      <c r="C95" s="23" t="s">
        <v>144</v>
      </c>
      <c r="D95" s="22" t="s">
        <v>492</v>
      </c>
      <c r="E95" s="23" t="s">
        <v>175</v>
      </c>
      <c r="F95" s="26" t="s">
        <v>73</v>
      </c>
      <c r="G95" s="91">
        <v>0</v>
      </c>
      <c r="H95" s="91">
        <v>0</v>
      </c>
      <c r="I95" s="91">
        <v>0</v>
      </c>
      <c r="J95" s="91">
        <v>0</v>
      </c>
      <c r="K95" s="91">
        <v>0</v>
      </c>
      <c r="L95" s="91">
        <v>0</v>
      </c>
      <c r="M95" s="91">
        <v>0</v>
      </c>
      <c r="N95" s="91">
        <v>0</v>
      </c>
      <c r="O95" s="91">
        <v>0</v>
      </c>
      <c r="P95" s="91">
        <v>0</v>
      </c>
      <c r="Q95" s="28"/>
      <c r="R95" s="28"/>
      <c r="S95" s="28"/>
      <c r="T95" s="28"/>
      <c r="U95" s="28"/>
      <c r="V95" s="28"/>
      <c r="W95" s="28"/>
      <c r="X95" s="28"/>
      <c r="Y95" s="28"/>
      <c r="Z95" s="28"/>
      <c r="AA95" s="28"/>
      <c r="AB95" s="28"/>
      <c r="AC95" s="28"/>
      <c r="AD95" s="28"/>
      <c r="AE95" s="28"/>
      <c r="AF95" s="26"/>
      <c r="AG95" s="28"/>
      <c r="AH95" s="28"/>
      <c r="AI95" s="28"/>
      <c r="AJ95" s="28"/>
      <c r="AK95" s="26"/>
    </row>
    <row r="96" spans="1:37" ht="31" customHeight="1" thickBot="1" x14ac:dyDescent="0.4">
      <c r="A96" s="23" t="s">
        <v>435</v>
      </c>
      <c r="B96" s="23" t="s">
        <v>447</v>
      </c>
      <c r="C96" s="23" t="s">
        <v>145</v>
      </c>
      <c r="D96" s="22" t="s">
        <v>493</v>
      </c>
      <c r="E96" s="23" t="s">
        <v>175</v>
      </c>
      <c r="F96" s="26" t="s">
        <v>73</v>
      </c>
      <c r="G96" s="91">
        <v>0</v>
      </c>
      <c r="H96" s="91">
        <v>0</v>
      </c>
      <c r="I96" s="91">
        <v>0</v>
      </c>
      <c r="J96" s="91">
        <v>0</v>
      </c>
      <c r="K96" s="91">
        <v>0</v>
      </c>
      <c r="L96" s="91">
        <v>0</v>
      </c>
      <c r="M96" s="91">
        <v>0</v>
      </c>
      <c r="N96" s="91">
        <v>0</v>
      </c>
      <c r="O96" s="91">
        <v>0</v>
      </c>
      <c r="P96" s="91">
        <v>0</v>
      </c>
      <c r="Q96" s="28"/>
      <c r="R96" s="28"/>
      <c r="S96" s="28"/>
      <c r="T96" s="28"/>
      <c r="U96" s="28"/>
      <c r="V96" s="28"/>
      <c r="W96" s="28"/>
      <c r="X96" s="28"/>
      <c r="Y96" s="28"/>
      <c r="Z96" s="28"/>
      <c r="AA96" s="28"/>
      <c r="AB96" s="28"/>
      <c r="AC96" s="28"/>
      <c r="AD96" s="28"/>
      <c r="AE96" s="28"/>
      <c r="AF96" s="26"/>
      <c r="AG96" s="28"/>
      <c r="AH96" s="28"/>
      <c r="AI96" s="28"/>
      <c r="AJ96" s="28"/>
      <c r="AK96" s="26"/>
    </row>
    <row r="97" spans="1:37" ht="31" customHeight="1" thickBot="1" x14ac:dyDescent="0.4">
      <c r="A97" s="23" t="s">
        <v>435</v>
      </c>
      <c r="B97" s="23" t="s">
        <v>536</v>
      </c>
      <c r="C97" s="23" t="s">
        <v>535</v>
      </c>
      <c r="D97" s="22" t="s">
        <v>537</v>
      </c>
      <c r="E97" s="23" t="s">
        <v>175</v>
      </c>
      <c r="F97" s="26" t="s">
        <v>73</v>
      </c>
      <c r="G97" s="91">
        <v>0</v>
      </c>
      <c r="H97" s="91">
        <v>0</v>
      </c>
      <c r="I97" s="91">
        <v>0</v>
      </c>
      <c r="J97" s="91">
        <v>0</v>
      </c>
      <c r="K97" s="91">
        <v>0</v>
      </c>
      <c r="L97" s="91">
        <v>0</v>
      </c>
      <c r="M97" s="91">
        <v>0</v>
      </c>
      <c r="N97" s="91">
        <v>0</v>
      </c>
      <c r="O97" s="91">
        <v>0</v>
      </c>
      <c r="P97" s="91">
        <v>0</v>
      </c>
      <c r="Q97" s="28"/>
      <c r="R97" s="28"/>
      <c r="S97" s="28"/>
      <c r="T97" s="28"/>
      <c r="U97" s="28"/>
      <c r="V97" s="28"/>
      <c r="W97" s="28"/>
      <c r="X97" s="28"/>
      <c r="Y97" s="28"/>
      <c r="Z97" s="28"/>
      <c r="AA97" s="28"/>
      <c r="AB97" s="28"/>
      <c r="AC97" s="28"/>
      <c r="AD97" s="28"/>
      <c r="AE97" s="28"/>
      <c r="AF97" s="26"/>
      <c r="AG97" s="28"/>
      <c r="AH97" s="28"/>
      <c r="AI97" s="28"/>
      <c r="AJ97" s="28"/>
      <c r="AK97" s="26"/>
    </row>
    <row r="98" spans="1:37" ht="31" customHeight="1" thickBot="1" x14ac:dyDescent="0.4">
      <c r="A98" s="23" t="s">
        <v>435</v>
      </c>
      <c r="B98" s="23" t="s">
        <v>527</v>
      </c>
      <c r="C98" s="23" t="s">
        <v>526</v>
      </c>
      <c r="D98" s="22" t="s">
        <v>528</v>
      </c>
      <c r="E98" s="23" t="s">
        <v>175</v>
      </c>
      <c r="F98" s="26" t="s">
        <v>73</v>
      </c>
      <c r="G98" s="91">
        <v>0</v>
      </c>
      <c r="H98" s="91">
        <v>0</v>
      </c>
      <c r="I98" s="91">
        <v>0</v>
      </c>
      <c r="J98" s="91">
        <v>0</v>
      </c>
      <c r="K98" s="91">
        <v>0</v>
      </c>
      <c r="L98" s="91">
        <v>0</v>
      </c>
      <c r="M98" s="91">
        <v>0</v>
      </c>
      <c r="N98" s="91">
        <v>0</v>
      </c>
      <c r="O98" s="91">
        <v>0</v>
      </c>
      <c r="P98" s="91">
        <v>0</v>
      </c>
      <c r="Q98" s="28"/>
      <c r="R98" s="28"/>
      <c r="S98" s="28"/>
      <c r="T98" s="28"/>
      <c r="U98" s="28"/>
      <c r="V98" s="28"/>
      <c r="W98" s="28"/>
      <c r="X98" s="28"/>
      <c r="Y98" s="28"/>
      <c r="Z98" s="28"/>
      <c r="AA98" s="28"/>
      <c r="AB98" s="28"/>
      <c r="AC98" s="28"/>
      <c r="AD98" s="28"/>
      <c r="AE98" s="28"/>
      <c r="AF98" s="26"/>
      <c r="AG98" s="28"/>
      <c r="AH98" s="28"/>
      <c r="AI98" s="28"/>
      <c r="AJ98" s="28"/>
      <c r="AK98" s="26"/>
    </row>
    <row r="99" spans="1:37" ht="31" customHeight="1" thickBot="1" x14ac:dyDescent="0.4">
      <c r="A99" s="23" t="s">
        <v>435</v>
      </c>
      <c r="B99" s="23" t="s">
        <v>530</v>
      </c>
      <c r="C99" s="23" t="s">
        <v>529</v>
      </c>
      <c r="D99" s="22" t="s">
        <v>531</v>
      </c>
      <c r="E99" s="23" t="s">
        <v>175</v>
      </c>
      <c r="F99" s="26" t="s">
        <v>73</v>
      </c>
      <c r="G99" s="91">
        <v>0</v>
      </c>
      <c r="H99" s="91">
        <v>0</v>
      </c>
      <c r="I99" s="91">
        <v>0</v>
      </c>
      <c r="J99" s="91">
        <v>0</v>
      </c>
      <c r="K99" s="91">
        <v>0</v>
      </c>
      <c r="L99" s="91">
        <v>0</v>
      </c>
      <c r="M99" s="91">
        <v>0</v>
      </c>
      <c r="N99" s="91">
        <v>0</v>
      </c>
      <c r="O99" s="91">
        <v>0</v>
      </c>
      <c r="P99" s="91">
        <v>0</v>
      </c>
      <c r="Q99" s="28"/>
      <c r="R99" s="28"/>
      <c r="S99" s="28"/>
      <c r="T99" s="28"/>
      <c r="U99" s="28"/>
      <c r="V99" s="28"/>
      <c r="W99" s="28"/>
      <c r="X99" s="28"/>
      <c r="Y99" s="28"/>
      <c r="Z99" s="28"/>
      <c r="AA99" s="28"/>
      <c r="AB99" s="28"/>
      <c r="AC99" s="28"/>
      <c r="AD99" s="28"/>
      <c r="AE99" s="28"/>
      <c r="AF99" s="26"/>
      <c r="AG99" s="28"/>
      <c r="AH99" s="28"/>
      <c r="AI99" s="28"/>
      <c r="AJ99" s="28"/>
      <c r="AK99" s="26"/>
    </row>
    <row r="100" spans="1:37" ht="31" customHeight="1" thickBot="1" x14ac:dyDescent="0.4">
      <c r="A100" s="23" t="s">
        <v>435</v>
      </c>
      <c r="B100" s="23" t="s">
        <v>628</v>
      </c>
      <c r="C100" s="23" t="s">
        <v>618</v>
      </c>
      <c r="D100" s="22" t="s">
        <v>619</v>
      </c>
      <c r="E100" s="23" t="s">
        <v>175</v>
      </c>
      <c r="F100" s="26" t="s">
        <v>73</v>
      </c>
      <c r="G100" s="91">
        <v>0</v>
      </c>
      <c r="H100" s="91">
        <v>0</v>
      </c>
      <c r="I100" s="91">
        <v>0</v>
      </c>
      <c r="J100" s="91">
        <v>0</v>
      </c>
      <c r="K100" s="91">
        <v>0</v>
      </c>
      <c r="L100" s="91">
        <v>0</v>
      </c>
      <c r="M100" s="91">
        <v>0</v>
      </c>
      <c r="N100" s="91">
        <v>0</v>
      </c>
      <c r="O100" s="91">
        <v>0</v>
      </c>
      <c r="P100" s="91">
        <v>0</v>
      </c>
      <c r="Q100" s="28"/>
      <c r="R100" s="28"/>
      <c r="S100" s="28"/>
      <c r="T100" s="28"/>
      <c r="U100" s="28"/>
      <c r="V100" s="28"/>
      <c r="W100" s="28"/>
      <c r="X100" s="28"/>
      <c r="Y100" s="28"/>
      <c r="Z100" s="28"/>
      <c r="AA100" s="28"/>
      <c r="AB100" s="28"/>
      <c r="AC100" s="28"/>
      <c r="AD100" s="28"/>
      <c r="AE100" s="28"/>
      <c r="AF100" s="26"/>
      <c r="AG100" s="28"/>
      <c r="AH100" s="28"/>
      <c r="AI100" s="28"/>
      <c r="AJ100" s="28"/>
      <c r="AK100" s="26"/>
    </row>
    <row r="101" spans="1:37" ht="31" customHeight="1" thickBot="1" x14ac:dyDescent="0.4">
      <c r="A101" s="23" t="s">
        <v>435</v>
      </c>
      <c r="B101" s="23" t="s">
        <v>540</v>
      </c>
      <c r="C101" s="23" t="s">
        <v>538</v>
      </c>
      <c r="D101" s="22" t="s">
        <v>539</v>
      </c>
      <c r="E101" s="23" t="s">
        <v>175</v>
      </c>
      <c r="F101" s="26" t="s">
        <v>73</v>
      </c>
      <c r="G101" s="91">
        <v>0</v>
      </c>
      <c r="H101" s="91">
        <v>0</v>
      </c>
      <c r="I101" s="91">
        <v>0</v>
      </c>
      <c r="J101" s="91">
        <v>0</v>
      </c>
      <c r="K101" s="91">
        <v>0</v>
      </c>
      <c r="L101" s="91">
        <v>0</v>
      </c>
      <c r="M101" s="91">
        <v>0</v>
      </c>
      <c r="N101" s="91">
        <v>0</v>
      </c>
      <c r="O101" s="91">
        <v>0</v>
      </c>
      <c r="P101" s="91">
        <v>0</v>
      </c>
      <c r="Q101" s="28"/>
      <c r="R101" s="28"/>
      <c r="S101" s="28"/>
      <c r="T101" s="28"/>
      <c r="U101" s="28"/>
      <c r="V101" s="28"/>
      <c r="W101" s="28"/>
      <c r="X101" s="28"/>
      <c r="Y101" s="28"/>
      <c r="Z101" s="28"/>
      <c r="AA101" s="28"/>
      <c r="AB101" s="28"/>
      <c r="AC101" s="28"/>
      <c r="AD101" s="28"/>
      <c r="AE101" s="28"/>
      <c r="AF101" s="26"/>
      <c r="AG101" s="28"/>
      <c r="AH101" s="28"/>
      <c r="AI101" s="28"/>
      <c r="AJ101" s="28"/>
      <c r="AK101" s="26"/>
    </row>
    <row r="102" spans="1:37" ht="13" thickBot="1" x14ac:dyDescent="0.4"/>
    <row r="103" spans="1:37" ht="26.15" customHeight="1" thickBot="1" x14ac:dyDescent="0.4">
      <c r="A103" s="112" t="s">
        <v>682</v>
      </c>
      <c r="B103" s="113"/>
      <c r="C103" s="113"/>
      <c r="D103" s="113"/>
      <c r="E103" s="113"/>
      <c r="F103" s="113"/>
      <c r="G103" s="113"/>
      <c r="H103" s="113"/>
      <c r="I103" s="113"/>
      <c r="J103" s="113"/>
      <c r="K103" s="113"/>
      <c r="L103" s="113"/>
      <c r="M103" s="113"/>
      <c r="N103" s="113"/>
      <c r="O103" s="113"/>
      <c r="P103" s="113"/>
      <c r="Q103" s="113"/>
      <c r="R103" s="113"/>
      <c r="S103" s="114"/>
      <c r="T103" s="114"/>
      <c r="U103" s="114"/>
      <c r="V103" s="114"/>
      <c r="W103" s="114"/>
      <c r="X103" s="114"/>
      <c r="Y103" s="114"/>
      <c r="Z103" s="114"/>
      <c r="AA103" s="114"/>
      <c r="AB103" s="114"/>
      <c r="AC103" s="114"/>
      <c r="AD103" s="114"/>
      <c r="AE103" s="114"/>
      <c r="AF103" s="114"/>
      <c r="AG103" s="115"/>
      <c r="AH103" s="115"/>
      <c r="AI103" s="113"/>
      <c r="AJ103" s="113"/>
      <c r="AK103" s="115"/>
    </row>
    <row r="104" spans="1:37" ht="31" customHeight="1" thickBot="1" x14ac:dyDescent="0.4">
      <c r="A104" s="23" t="s">
        <v>451</v>
      </c>
      <c r="B104" s="23" t="s">
        <v>451</v>
      </c>
      <c r="C104" s="23" t="s">
        <v>134</v>
      </c>
      <c r="D104" s="22" t="s">
        <v>480</v>
      </c>
      <c r="E104" s="23" t="s">
        <v>135</v>
      </c>
      <c r="F104" s="26" t="s">
        <v>107</v>
      </c>
      <c r="G104" s="87">
        <f>G22*Assumptions!$B$25</f>
        <v>372.34843999999993</v>
      </c>
      <c r="H104" s="87">
        <f>H22*Assumptions!$B$25</f>
        <v>744.69687999999985</v>
      </c>
      <c r="I104" s="87">
        <f>I22*Assumptions!$B$25</f>
        <v>744.69687999999985</v>
      </c>
      <c r="J104" s="87">
        <f>J22*Assumptions!$B$25</f>
        <v>744.69687999999985</v>
      </c>
      <c r="K104" s="87">
        <f>K22*Assumptions!$B$25</f>
        <v>744.69687999999985</v>
      </c>
      <c r="L104" s="87">
        <f>L22*Assumptions!$B$25</f>
        <v>744.69687999999985</v>
      </c>
      <c r="M104" s="87">
        <f>M22*Assumptions!$B$25</f>
        <v>744.69687999999985</v>
      </c>
      <c r="N104" s="87">
        <f>N22*Assumptions!$B$25</f>
        <v>744.69687999999985</v>
      </c>
      <c r="O104" s="87">
        <f>O22*Assumptions!$B$25</f>
        <v>744.69687999999985</v>
      </c>
      <c r="P104" s="87">
        <f>P22*Assumptions!$B$25</f>
        <v>744.69687999999985</v>
      </c>
      <c r="Q104" s="81">
        <f>SUM(G104:P104)</f>
        <v>7074.6203599999981</v>
      </c>
      <c r="R104" s="200" t="s">
        <v>854</v>
      </c>
      <c r="S104" s="28"/>
      <c r="T104" s="83">
        <f>(G81*'Conversion factors BATT'!$B70+(1-G81)*'Conversion factors BATT'!$B91)*G104</f>
        <v>11896.532657999996</v>
      </c>
      <c r="U104" s="83">
        <f>(H81*'Conversion factors BATT'!$B70+(1-H81)*'Conversion factors BATT'!$B91)*H104</f>
        <v>23793.065315999993</v>
      </c>
      <c r="V104" s="83">
        <f>(I81*'Conversion factors BATT'!$B70+(1-I81)*'Conversion factors BATT'!$B91)*I104</f>
        <v>23793.065315999993</v>
      </c>
      <c r="W104" s="83">
        <f>(J81*'Conversion factors BATT'!$B70+(1-J81)*'Conversion factors BATT'!$B91)*J104</f>
        <v>23793.065315999993</v>
      </c>
      <c r="X104" s="83">
        <f>(K81*'Conversion factors BATT'!$B70+(1-K81)*'Conversion factors BATT'!$B91)*K104</f>
        <v>23071.454039279994</v>
      </c>
      <c r="Y104" s="83">
        <f>(L81*'Conversion factors BATT'!$B70+(1-L81)*'Conversion factors BATT'!$B91)*L104</f>
        <v>23071.454039279994</v>
      </c>
      <c r="Z104" s="83">
        <f>(M81*'Conversion factors BATT'!$B70+(1-M81)*'Conversion factors BATT'!$B91)*M104</f>
        <v>23071.454039279994</v>
      </c>
      <c r="AA104" s="83">
        <f>(N81*'Conversion factors BATT'!$B70+(1-N81)*'Conversion factors BATT'!$B91)*N104</f>
        <v>23071.454039279994</v>
      </c>
      <c r="AB104" s="83">
        <f>(O81*'Conversion factors BATT'!$B70+(1-O81)*'Conversion factors BATT'!$B91)*O104</f>
        <v>23071.454039279994</v>
      </c>
      <c r="AC104" s="83">
        <f>(P81*'Conversion factors BATT'!$B70+(1-P81)*'Conversion factors BATT'!$B91)*P104</f>
        <v>22349.842762559994</v>
      </c>
      <c r="AD104" s="83">
        <f t="shared" ref="AD104:AD125" si="41">SUM(T104:AC104)</f>
        <v>220982.84156495993</v>
      </c>
      <c r="AE104" s="28" t="s">
        <v>831</v>
      </c>
      <c r="AF104" s="26" t="s">
        <v>842</v>
      </c>
      <c r="AG104" s="28"/>
      <c r="AH104" s="28" t="s">
        <v>843</v>
      </c>
      <c r="AI104" s="172" t="s">
        <v>834</v>
      </c>
      <c r="AJ104" s="28" t="s">
        <v>849</v>
      </c>
      <c r="AK104" s="26" t="s">
        <v>846</v>
      </c>
    </row>
    <row r="105" spans="1:37" ht="31" customHeight="1" thickBot="1" x14ac:dyDescent="0.4">
      <c r="A105" s="23" t="s">
        <v>450</v>
      </c>
      <c r="B105" s="23" t="s">
        <v>464</v>
      </c>
      <c r="C105" s="23" t="s">
        <v>148</v>
      </c>
      <c r="D105" s="22" t="s">
        <v>507</v>
      </c>
      <c r="E105" s="23" t="s">
        <v>135</v>
      </c>
      <c r="F105" s="26" t="s">
        <v>107</v>
      </c>
      <c r="G105" s="87">
        <f>G22*Assumptions!$B$26</f>
        <v>285.85499999999996</v>
      </c>
      <c r="H105" s="87">
        <f>H22*Assumptions!$B$26</f>
        <v>571.70999999999992</v>
      </c>
      <c r="I105" s="87">
        <f>I22*Assumptions!$B$26</f>
        <v>571.70999999999992</v>
      </c>
      <c r="J105" s="87">
        <f>J22*Assumptions!$B$26</f>
        <v>571.70999999999992</v>
      </c>
      <c r="K105" s="87">
        <f>K22*Assumptions!$B$26</f>
        <v>571.70999999999992</v>
      </c>
      <c r="L105" s="87">
        <f>L22*Assumptions!$B$26</f>
        <v>571.70999999999992</v>
      </c>
      <c r="M105" s="87">
        <f>M22*Assumptions!$B$26</f>
        <v>571.70999999999992</v>
      </c>
      <c r="N105" s="87">
        <f>N22*Assumptions!$B$26</f>
        <v>571.70999999999992</v>
      </c>
      <c r="O105" s="87">
        <f>O22*Assumptions!$B$26</f>
        <v>571.70999999999992</v>
      </c>
      <c r="P105" s="87">
        <f>P22*Assumptions!$B$26</f>
        <v>571.70999999999992</v>
      </c>
      <c r="Q105" s="81">
        <f>SUM(G105:P105)</f>
        <v>5431.2449999999999</v>
      </c>
      <c r="R105" s="201"/>
      <c r="S105" s="28"/>
      <c r="T105" s="83">
        <f>(G82*'Conversion factors BATT'!$B71+(1-G82)*'Conversion factors BATT'!$B92)*G105</f>
        <v>380.18714999999997</v>
      </c>
      <c r="U105" s="83">
        <f>(H82*'Conversion factors BATT'!$B71+(1-H82)*'Conversion factors BATT'!$B92)*H105</f>
        <v>760.37429999999995</v>
      </c>
      <c r="V105" s="83">
        <f>(I82*'Conversion factors BATT'!$B71+(1-I82)*'Conversion factors BATT'!$B92)*I105</f>
        <v>760.37429999999995</v>
      </c>
      <c r="W105" s="83">
        <f>(J82*'Conversion factors BATT'!$B71+(1-J82)*'Conversion factors BATT'!$B92)*J105</f>
        <v>760.37429999999995</v>
      </c>
      <c r="X105" s="83">
        <f>(K82*'Conversion factors BATT'!$B71+(1-K82)*'Conversion factors BATT'!$B92)*K105</f>
        <v>760.37429999999995</v>
      </c>
      <c r="Y105" s="83">
        <f>(L82*'Conversion factors BATT'!$B71+(1-L82)*'Conversion factors BATT'!$B92)*L105</f>
        <v>760.37429999999995</v>
      </c>
      <c r="Z105" s="83">
        <f>(M82*'Conversion factors BATT'!$B71+(1-M82)*'Conversion factors BATT'!$B92)*M105</f>
        <v>760.37429999999995</v>
      </c>
      <c r="AA105" s="83">
        <f>(N82*'Conversion factors BATT'!$B71+(1-N82)*'Conversion factors BATT'!$B92)*N105</f>
        <v>760.37429999999995</v>
      </c>
      <c r="AB105" s="83">
        <f>(O82*'Conversion factors BATT'!$B71+(1-O82)*'Conversion factors BATT'!$B92)*O105</f>
        <v>760.37429999999995</v>
      </c>
      <c r="AC105" s="83">
        <f>(P82*'Conversion factors BATT'!$B71+(1-P82)*'Conversion factors BATT'!$B92)*P105</f>
        <v>760.37429999999995</v>
      </c>
      <c r="AD105" s="83">
        <f>SUM(T105:AC105)</f>
        <v>7223.5558499999988</v>
      </c>
      <c r="AE105" s="28" t="s">
        <v>831</v>
      </c>
      <c r="AF105" s="26" t="s">
        <v>842</v>
      </c>
      <c r="AG105" s="28"/>
      <c r="AH105" s="28" t="s">
        <v>843</v>
      </c>
      <c r="AI105" s="172" t="s">
        <v>834</v>
      </c>
      <c r="AJ105" s="28" t="s">
        <v>849</v>
      </c>
      <c r="AK105" s="26" t="s">
        <v>846</v>
      </c>
    </row>
    <row r="106" spans="1:37" ht="31" customHeight="1" thickBot="1" x14ac:dyDescent="0.4">
      <c r="A106" s="23" t="s">
        <v>450</v>
      </c>
      <c r="B106" s="23" t="s">
        <v>452</v>
      </c>
      <c r="C106" s="23" t="s">
        <v>147</v>
      </c>
      <c r="D106" s="22" t="s">
        <v>481</v>
      </c>
      <c r="E106" s="23" t="s">
        <v>135</v>
      </c>
      <c r="F106" s="26" t="s">
        <v>107</v>
      </c>
      <c r="G106" s="87"/>
      <c r="H106" s="87"/>
      <c r="I106" s="87"/>
      <c r="J106" s="87"/>
      <c r="K106" s="87"/>
      <c r="L106" s="87"/>
      <c r="M106" s="87"/>
      <c r="N106" s="87"/>
      <c r="O106" s="87"/>
      <c r="P106" s="87"/>
      <c r="Q106" s="81">
        <f>SUM(G106:P106)</f>
        <v>0</v>
      </c>
      <c r="R106" s="201"/>
      <c r="S106" s="28"/>
      <c r="T106" s="83">
        <f>(G83*'Conversion factors BATT'!$B72+(1-G83)*'Conversion factors BATT'!$B93)*G106</f>
        <v>0</v>
      </c>
      <c r="U106" s="83">
        <f>(H83*'Conversion factors BATT'!$B72+(1-H83)*'Conversion factors BATT'!$B93)*H106</f>
        <v>0</v>
      </c>
      <c r="V106" s="83">
        <f>(I83*'Conversion factors BATT'!$B72+(1-I83)*'Conversion factors BATT'!$B93)*I106</f>
        <v>0</v>
      </c>
      <c r="W106" s="83">
        <f>(J83*'Conversion factors BATT'!$B72+(1-J83)*'Conversion factors BATT'!$B93)*J106</f>
        <v>0</v>
      </c>
      <c r="X106" s="83">
        <f>(K83*'Conversion factors BATT'!$B72+(1-K83)*'Conversion factors BATT'!$B93)*K106</f>
        <v>0</v>
      </c>
      <c r="Y106" s="83">
        <f>(L83*'Conversion factors BATT'!$B72+(1-L83)*'Conversion factors BATT'!$B93)*L106</f>
        <v>0</v>
      </c>
      <c r="Z106" s="83">
        <f>(M83*'Conversion factors BATT'!$B72+(1-M83)*'Conversion factors BATT'!$B93)*M106</f>
        <v>0</v>
      </c>
      <c r="AA106" s="83">
        <f>(N83*'Conversion factors BATT'!$B72+(1-N83)*'Conversion factors BATT'!$B93)*N106</f>
        <v>0</v>
      </c>
      <c r="AB106" s="83">
        <f>(O83*'Conversion factors BATT'!$B72+(1-O83)*'Conversion factors BATT'!$B93)*O106</f>
        <v>0</v>
      </c>
      <c r="AC106" s="83">
        <f>(P83*'Conversion factors BATT'!$B72+(1-P83)*'Conversion factors BATT'!$B93)*P106</f>
        <v>0</v>
      </c>
      <c r="AD106" s="83">
        <f t="shared" si="41"/>
        <v>0</v>
      </c>
      <c r="AE106" s="28"/>
      <c r="AF106" s="26"/>
      <c r="AG106" s="28"/>
      <c r="AH106" s="28"/>
      <c r="AI106" s="28"/>
      <c r="AJ106" s="28"/>
      <c r="AK106" s="26"/>
    </row>
    <row r="107" spans="1:37" ht="31" customHeight="1" thickBot="1" x14ac:dyDescent="0.4">
      <c r="A107" s="23" t="s">
        <v>450</v>
      </c>
      <c r="B107" s="23" t="s">
        <v>453</v>
      </c>
      <c r="C107" s="23" t="s">
        <v>136</v>
      </c>
      <c r="D107" s="22" t="s">
        <v>496</v>
      </c>
      <c r="E107" s="23" t="s">
        <v>135</v>
      </c>
      <c r="F107" s="26" t="s">
        <v>107</v>
      </c>
      <c r="G107" s="87">
        <f>G22*Assumptions!$B$27</f>
        <v>3592.04</v>
      </c>
      <c r="H107" s="87">
        <f>H22*Assumptions!$B$27</f>
        <v>7184.08</v>
      </c>
      <c r="I107" s="87">
        <f>I22*Assumptions!$B$27</f>
        <v>7184.08</v>
      </c>
      <c r="J107" s="87">
        <f>J22*Assumptions!$B$27</f>
        <v>7184.08</v>
      </c>
      <c r="K107" s="87">
        <f>K22*Assumptions!$B$27</f>
        <v>7184.08</v>
      </c>
      <c r="L107" s="87">
        <f>L22*Assumptions!$B$27</f>
        <v>7184.08</v>
      </c>
      <c r="M107" s="87">
        <f>M22*Assumptions!$B$27</f>
        <v>7184.08</v>
      </c>
      <c r="N107" s="87">
        <f>N22*Assumptions!$B$27</f>
        <v>7184.08</v>
      </c>
      <c r="O107" s="87">
        <f>O22*Assumptions!$B$27</f>
        <v>7184.08</v>
      </c>
      <c r="P107" s="87">
        <f>P22*Assumptions!$B$27</f>
        <v>7184.08</v>
      </c>
      <c r="Q107" s="81">
        <f t="shared" ref="Q107:Q124" si="42">SUM(G107:P107)</f>
        <v>68248.760000000009</v>
      </c>
      <c r="R107" s="201"/>
      <c r="S107" s="28"/>
      <c r="T107" s="83">
        <f>(G84*'Conversion factors BATT'!$B73+(1-G84)*'Conversion factors BATT'!$B94)*G107</f>
        <v>41739.504800000002</v>
      </c>
      <c r="U107" s="83">
        <f>(H84*'Conversion factors BATT'!$B73+(1-H84)*'Conversion factors BATT'!$B94)*H107</f>
        <v>83479.009600000005</v>
      </c>
      <c r="V107" s="83">
        <f>(I84*'Conversion factors BATT'!$B73+(1-I84)*'Conversion factors BATT'!$B94)*I107</f>
        <v>83479.009600000005</v>
      </c>
      <c r="W107" s="83">
        <f>(J84*'Conversion factors BATT'!$B73+(1-J84)*'Conversion factors BATT'!$B94)*J107</f>
        <v>83479.009600000005</v>
      </c>
      <c r="X107" s="83">
        <f>(K84*'Conversion factors BATT'!$B73+(1-K84)*'Conversion factors BATT'!$B94)*K107</f>
        <v>83479.009600000005</v>
      </c>
      <c r="Y107" s="83">
        <f>(L84*'Conversion factors BATT'!$B73+(1-L84)*'Conversion factors BATT'!$B94)*L107</f>
        <v>83479.009600000005</v>
      </c>
      <c r="Z107" s="83">
        <f>(M84*'Conversion factors BATT'!$B73+(1-M84)*'Conversion factors BATT'!$B94)*M107</f>
        <v>83479.009600000005</v>
      </c>
      <c r="AA107" s="83">
        <f>(N84*'Conversion factors BATT'!$B73+(1-N84)*'Conversion factors BATT'!$B94)*N107</f>
        <v>83479.009600000005</v>
      </c>
      <c r="AB107" s="83">
        <f>(O84*'Conversion factors BATT'!$B73+(1-O84)*'Conversion factors BATT'!$B94)*O107</f>
        <v>83479.009600000005</v>
      </c>
      <c r="AC107" s="83">
        <f>(P84*'Conversion factors BATT'!$B73+(1-P84)*'Conversion factors BATT'!$B94)*P107</f>
        <v>83479.009600000005</v>
      </c>
      <c r="AD107" s="83">
        <f t="shared" si="41"/>
        <v>793050.59120000002</v>
      </c>
      <c r="AE107" s="28" t="s">
        <v>831</v>
      </c>
      <c r="AF107" s="26" t="s">
        <v>842</v>
      </c>
      <c r="AG107" s="28"/>
      <c r="AH107" s="28" t="s">
        <v>843</v>
      </c>
      <c r="AI107" s="172" t="s">
        <v>834</v>
      </c>
      <c r="AJ107" s="28" t="s">
        <v>849</v>
      </c>
      <c r="AK107" s="26" t="s">
        <v>846</v>
      </c>
    </row>
    <row r="108" spans="1:37" ht="31" customHeight="1" thickBot="1" x14ac:dyDescent="0.4">
      <c r="A108" s="23" t="s">
        <v>450</v>
      </c>
      <c r="B108" s="23" t="s">
        <v>454</v>
      </c>
      <c r="C108" s="23" t="s">
        <v>137</v>
      </c>
      <c r="D108" s="22" t="s">
        <v>497</v>
      </c>
      <c r="E108" s="23" t="s">
        <v>135</v>
      </c>
      <c r="F108" s="26" t="s">
        <v>107</v>
      </c>
      <c r="G108" s="87"/>
      <c r="H108" s="87"/>
      <c r="I108" s="87"/>
      <c r="J108" s="87"/>
      <c r="K108" s="87"/>
      <c r="L108" s="87"/>
      <c r="M108" s="87"/>
      <c r="N108" s="87"/>
      <c r="O108" s="87"/>
      <c r="P108" s="87"/>
      <c r="Q108" s="81">
        <f t="shared" si="42"/>
        <v>0</v>
      </c>
      <c r="R108" s="201"/>
      <c r="S108" s="28"/>
      <c r="T108" s="83">
        <f>(G85*'Conversion factors BATT'!$B74+(1-G85)*'Conversion factors BATT'!$B95)*G108</f>
        <v>0</v>
      </c>
      <c r="U108" s="83">
        <f>(H85*'Conversion factors BATT'!$B74+(1-H85)*'Conversion factors BATT'!$B95)*H108</f>
        <v>0</v>
      </c>
      <c r="V108" s="83">
        <f>(I85*'Conversion factors BATT'!$B74+(1-I85)*'Conversion factors BATT'!$B95)*I108</f>
        <v>0</v>
      </c>
      <c r="W108" s="83">
        <f>(J85*'Conversion factors BATT'!$B74+(1-J85)*'Conversion factors BATT'!$B95)*J108</f>
        <v>0</v>
      </c>
      <c r="X108" s="83">
        <f>(K85*'Conversion factors BATT'!$B74+(1-K85)*'Conversion factors BATT'!$B95)*K108</f>
        <v>0</v>
      </c>
      <c r="Y108" s="83">
        <f>(L85*'Conversion factors BATT'!$B74+(1-L85)*'Conversion factors BATT'!$B95)*L108</f>
        <v>0</v>
      </c>
      <c r="Z108" s="83">
        <f>(M85*'Conversion factors BATT'!$B74+(1-M85)*'Conversion factors BATT'!$B95)*M108</f>
        <v>0</v>
      </c>
      <c r="AA108" s="83">
        <f>(N85*'Conversion factors BATT'!$B74+(1-N85)*'Conversion factors BATT'!$B95)*N108</f>
        <v>0</v>
      </c>
      <c r="AB108" s="83">
        <f>(O85*'Conversion factors BATT'!$B74+(1-O85)*'Conversion factors BATT'!$B95)*O108</f>
        <v>0</v>
      </c>
      <c r="AC108" s="83">
        <f>(P85*'Conversion factors BATT'!$B74+(1-P85)*'Conversion factors BATT'!$B95)*P108</f>
        <v>0</v>
      </c>
      <c r="AD108" s="83">
        <f t="shared" si="41"/>
        <v>0</v>
      </c>
      <c r="AE108" s="28"/>
      <c r="AF108" s="26"/>
      <c r="AG108" s="28"/>
      <c r="AH108" s="28"/>
      <c r="AI108" s="28"/>
      <c r="AJ108" s="28"/>
      <c r="AK108" s="26"/>
    </row>
    <row r="109" spans="1:37" ht="31" customHeight="1" thickBot="1" x14ac:dyDescent="0.4">
      <c r="A109" s="23" t="s">
        <v>450</v>
      </c>
      <c r="B109" s="23" t="s">
        <v>541</v>
      </c>
      <c r="C109" s="23" t="s">
        <v>523</v>
      </c>
      <c r="D109" s="22" t="s">
        <v>548</v>
      </c>
      <c r="E109" s="23" t="s">
        <v>135</v>
      </c>
      <c r="F109" s="26" t="s">
        <v>107</v>
      </c>
      <c r="G109" s="87">
        <f>G22*Assumptions!$B$28</f>
        <v>1658.2965600000002</v>
      </c>
      <c r="H109" s="87">
        <f>H22*Assumptions!$B$28</f>
        <v>3316.5931200000005</v>
      </c>
      <c r="I109" s="87">
        <f>I22*Assumptions!$B$28</f>
        <v>3316.5931200000005</v>
      </c>
      <c r="J109" s="87">
        <f>J22*Assumptions!$B$28</f>
        <v>3316.5931200000005</v>
      </c>
      <c r="K109" s="87">
        <f>K22*Assumptions!$B$28</f>
        <v>3316.5931200000005</v>
      </c>
      <c r="L109" s="87">
        <f>L22*Assumptions!$B$28</f>
        <v>3316.5931200000005</v>
      </c>
      <c r="M109" s="87">
        <f>M22*Assumptions!$B$28</f>
        <v>3316.5931200000005</v>
      </c>
      <c r="N109" s="87">
        <f>N22*Assumptions!$B$28</f>
        <v>3316.5931200000005</v>
      </c>
      <c r="O109" s="87">
        <f>O22*Assumptions!$B$28</f>
        <v>3316.5931200000005</v>
      </c>
      <c r="P109" s="87">
        <f>P22*Assumptions!$B$28</f>
        <v>3316.5931200000005</v>
      </c>
      <c r="Q109" s="81">
        <f>SUM(G109:P109)</f>
        <v>31507.634640000011</v>
      </c>
      <c r="R109" s="201"/>
      <c r="S109" s="28"/>
      <c r="T109" s="83">
        <f>(G86*'Conversion factors BATT'!$B75+(1-G86)*'Conversion factors BATT'!$B96)*G109</f>
        <v>3615.086500800001</v>
      </c>
      <c r="U109" s="83">
        <f>(H86*'Conversion factors BATT'!$B75+(1-H86)*'Conversion factors BATT'!$B96)*H109</f>
        <v>7230.173001600002</v>
      </c>
      <c r="V109" s="83">
        <f>(I86*'Conversion factors BATT'!$B75+(1-I86)*'Conversion factors BATT'!$B96)*I109</f>
        <v>7230.173001600002</v>
      </c>
      <c r="W109" s="83">
        <f>(J86*'Conversion factors BATT'!$B75+(1-J86)*'Conversion factors BATT'!$B96)*J109</f>
        <v>7230.173001600002</v>
      </c>
      <c r="X109" s="83">
        <f>(K86*'Conversion factors BATT'!$B75+(1-K86)*'Conversion factors BATT'!$B96)*K109</f>
        <v>7230.173001600002</v>
      </c>
      <c r="Y109" s="83">
        <f>(L86*'Conversion factors BATT'!$B75+(1-L86)*'Conversion factors BATT'!$B96)*L109</f>
        <v>7230.173001600002</v>
      </c>
      <c r="Z109" s="83">
        <f>(M86*'Conversion factors BATT'!$B75+(1-M86)*'Conversion factors BATT'!$B96)*M109</f>
        <v>7230.173001600002</v>
      </c>
      <c r="AA109" s="83">
        <f>(N86*'Conversion factors BATT'!$B75+(1-N86)*'Conversion factors BATT'!$B96)*N109</f>
        <v>7230.173001600002</v>
      </c>
      <c r="AB109" s="83">
        <f>(O86*'Conversion factors BATT'!$B75+(1-O86)*'Conversion factors BATT'!$B96)*O109</f>
        <v>7230.173001600002</v>
      </c>
      <c r="AC109" s="83">
        <f>(P86*'Conversion factors BATT'!$B75+(1-P86)*'Conversion factors BATT'!$B96)*P109</f>
        <v>7230.173001600002</v>
      </c>
      <c r="AD109" s="83">
        <f>SUM(T109:AC109)</f>
        <v>68686.643515200005</v>
      </c>
      <c r="AE109" s="28" t="s">
        <v>831</v>
      </c>
      <c r="AF109" s="26" t="s">
        <v>842</v>
      </c>
      <c r="AG109" s="28"/>
      <c r="AH109" s="28" t="s">
        <v>843</v>
      </c>
      <c r="AI109" s="172" t="s">
        <v>834</v>
      </c>
      <c r="AJ109" s="28" t="s">
        <v>849</v>
      </c>
      <c r="AK109" s="26" t="s">
        <v>846</v>
      </c>
    </row>
    <row r="110" spans="1:37" ht="31" customHeight="1" thickBot="1" x14ac:dyDescent="0.4">
      <c r="A110" s="23" t="s">
        <v>450</v>
      </c>
      <c r="B110" s="23" t="s">
        <v>463</v>
      </c>
      <c r="C110" s="23" t="s">
        <v>146</v>
      </c>
      <c r="D110" s="22" t="s">
        <v>506</v>
      </c>
      <c r="E110" s="23" t="s">
        <v>135</v>
      </c>
      <c r="F110" s="26" t="s">
        <v>107</v>
      </c>
      <c r="G110" s="87"/>
      <c r="H110" s="87"/>
      <c r="I110" s="87"/>
      <c r="J110" s="87"/>
      <c r="K110" s="87"/>
      <c r="L110" s="87"/>
      <c r="M110" s="87"/>
      <c r="N110" s="87"/>
      <c r="O110" s="87"/>
      <c r="P110" s="87"/>
      <c r="Q110" s="81">
        <f>SUM(G110:P110)</f>
        <v>0</v>
      </c>
      <c r="R110" s="201"/>
      <c r="S110" s="28"/>
      <c r="T110" s="83">
        <f>(G87*'Conversion factors BATT'!$B76+(1-G87)*'Conversion factors BATT'!$B97)*G110</f>
        <v>0</v>
      </c>
      <c r="U110" s="83">
        <f>(H87*'Conversion factors BATT'!$B76+(1-H87)*'Conversion factors BATT'!$B97)*H110</f>
        <v>0</v>
      </c>
      <c r="V110" s="83">
        <f>(I87*'Conversion factors BATT'!$B76+(1-I87)*'Conversion factors BATT'!$B97)*I110</f>
        <v>0</v>
      </c>
      <c r="W110" s="83">
        <f>(J87*'Conversion factors BATT'!$B76+(1-J87)*'Conversion factors BATT'!$B97)*J110</f>
        <v>0</v>
      </c>
      <c r="X110" s="83">
        <f>(K87*'Conversion factors BATT'!$B76+(1-K87)*'Conversion factors BATT'!$B97)*K110</f>
        <v>0</v>
      </c>
      <c r="Y110" s="83">
        <f>(L87*'Conversion factors BATT'!$B76+(1-L87)*'Conversion factors BATT'!$B97)*L110</f>
        <v>0</v>
      </c>
      <c r="Z110" s="83">
        <f>(M87*'Conversion factors BATT'!$B76+(1-M87)*'Conversion factors BATT'!$B97)*M110</f>
        <v>0</v>
      </c>
      <c r="AA110" s="83">
        <f>(N87*'Conversion factors BATT'!$B76+(1-N87)*'Conversion factors BATT'!$B97)*N110</f>
        <v>0</v>
      </c>
      <c r="AB110" s="83">
        <f>(O87*'Conversion factors BATT'!$B76+(1-O87)*'Conversion factors BATT'!$B97)*O110</f>
        <v>0</v>
      </c>
      <c r="AC110" s="83">
        <f>(P87*'Conversion factors BATT'!$B76+(1-P87)*'Conversion factors BATT'!$B97)*P110</f>
        <v>0</v>
      </c>
      <c r="AD110" s="83">
        <f>SUM(T110:AC110)</f>
        <v>0</v>
      </c>
      <c r="AE110" s="28"/>
      <c r="AF110" s="26"/>
      <c r="AG110" s="28"/>
      <c r="AH110" s="28"/>
      <c r="AI110" s="28"/>
      <c r="AJ110" s="28"/>
      <c r="AK110" s="26"/>
    </row>
    <row r="111" spans="1:37" ht="31" customHeight="1" thickBot="1" x14ac:dyDescent="0.4">
      <c r="A111" s="23" t="s">
        <v>450</v>
      </c>
      <c r="B111" s="23" t="s">
        <v>542</v>
      </c>
      <c r="C111" s="23" t="s">
        <v>532</v>
      </c>
      <c r="D111" s="22" t="s">
        <v>549</v>
      </c>
      <c r="E111" s="23" t="s">
        <v>135</v>
      </c>
      <c r="F111" s="26" t="s">
        <v>107</v>
      </c>
      <c r="G111" s="87"/>
      <c r="H111" s="87"/>
      <c r="I111" s="87"/>
      <c r="J111" s="87"/>
      <c r="K111" s="87"/>
      <c r="L111" s="87"/>
      <c r="M111" s="87"/>
      <c r="N111" s="87"/>
      <c r="O111" s="87"/>
      <c r="P111" s="87"/>
      <c r="Q111" s="81">
        <f>SUM(G111:P111)</f>
        <v>0</v>
      </c>
      <c r="R111" s="201"/>
      <c r="S111" s="28"/>
      <c r="T111" s="83">
        <f>(G88*'Conversion factors BATT'!$B77+(1-G88)*'Conversion factors BATT'!$B98)*G111</f>
        <v>0</v>
      </c>
      <c r="U111" s="83">
        <f>(H88*'Conversion factors BATT'!$B77+(1-H88)*'Conversion factors BATT'!$B98)*H111</f>
        <v>0</v>
      </c>
      <c r="V111" s="83">
        <f>(I88*'Conversion factors BATT'!$B77+(1-I88)*'Conversion factors BATT'!$B98)*I111</f>
        <v>0</v>
      </c>
      <c r="W111" s="83">
        <f>(J88*'Conversion factors BATT'!$B77+(1-J88)*'Conversion factors BATT'!$B98)*J111</f>
        <v>0</v>
      </c>
      <c r="X111" s="83">
        <f>(K88*'Conversion factors BATT'!$B77+(1-K88)*'Conversion factors BATT'!$B98)*K111</f>
        <v>0</v>
      </c>
      <c r="Y111" s="83">
        <f>(L88*'Conversion factors BATT'!$B77+(1-L88)*'Conversion factors BATT'!$B98)*L111</f>
        <v>0</v>
      </c>
      <c r="Z111" s="83">
        <f>(M88*'Conversion factors BATT'!$B77+(1-M88)*'Conversion factors BATT'!$B98)*M111</f>
        <v>0</v>
      </c>
      <c r="AA111" s="83">
        <f>(N88*'Conversion factors BATT'!$B77+(1-N88)*'Conversion factors BATT'!$B98)*N111</f>
        <v>0</v>
      </c>
      <c r="AB111" s="83">
        <f>(O88*'Conversion factors BATT'!$B77+(1-O88)*'Conversion factors BATT'!$B98)*O111</f>
        <v>0</v>
      </c>
      <c r="AC111" s="83">
        <f>(P88*'Conversion factors BATT'!$B77+(1-P88)*'Conversion factors BATT'!$B98)*P111</f>
        <v>0</v>
      </c>
      <c r="AD111" s="83">
        <f>SUM(T111:AC111)</f>
        <v>0</v>
      </c>
      <c r="AE111" s="28"/>
      <c r="AF111" s="26"/>
      <c r="AG111" s="28"/>
      <c r="AH111" s="28"/>
      <c r="AI111" s="28"/>
      <c r="AJ111" s="28"/>
      <c r="AK111" s="26"/>
    </row>
    <row r="112" spans="1:37" ht="31" customHeight="1" thickBot="1" x14ac:dyDescent="0.4">
      <c r="A112" s="23" t="s">
        <v>450</v>
      </c>
      <c r="B112" s="23" t="s">
        <v>455</v>
      </c>
      <c r="C112" s="23" t="s">
        <v>138</v>
      </c>
      <c r="D112" s="22" t="s">
        <v>498</v>
      </c>
      <c r="E112" s="23" t="s">
        <v>135</v>
      </c>
      <c r="F112" s="26" t="s">
        <v>107</v>
      </c>
      <c r="G112" s="87"/>
      <c r="H112" s="87"/>
      <c r="I112" s="87"/>
      <c r="J112" s="87"/>
      <c r="K112" s="87"/>
      <c r="L112" s="87"/>
      <c r="M112" s="87"/>
      <c r="N112" s="87"/>
      <c r="O112" s="87"/>
      <c r="P112" s="87"/>
      <c r="Q112" s="81">
        <f t="shared" si="42"/>
        <v>0</v>
      </c>
      <c r="R112" s="201"/>
      <c r="S112" s="28"/>
      <c r="T112" s="83">
        <f>(G89*'Conversion factors BATT'!$B78+(1-G89)*'Conversion factors BATT'!$B99)*G112</f>
        <v>0</v>
      </c>
      <c r="U112" s="83">
        <f>(H89*'Conversion factors BATT'!$B78+(1-H89)*'Conversion factors BATT'!$B99)*H112</f>
        <v>0</v>
      </c>
      <c r="V112" s="83">
        <f>(I89*'Conversion factors BATT'!$B78+(1-I89)*'Conversion factors BATT'!$B99)*I112</f>
        <v>0</v>
      </c>
      <c r="W112" s="83">
        <f>(J89*'Conversion factors BATT'!$B78+(1-J89)*'Conversion factors BATT'!$B99)*J112</f>
        <v>0</v>
      </c>
      <c r="X112" s="83">
        <f>(K89*'Conversion factors BATT'!$B78+(1-K89)*'Conversion factors BATT'!$B99)*K112</f>
        <v>0</v>
      </c>
      <c r="Y112" s="83">
        <f>(L89*'Conversion factors BATT'!$B78+(1-L89)*'Conversion factors BATT'!$B99)*L112</f>
        <v>0</v>
      </c>
      <c r="Z112" s="83">
        <f>(M89*'Conversion factors BATT'!$B78+(1-M89)*'Conversion factors BATT'!$B99)*M112</f>
        <v>0</v>
      </c>
      <c r="AA112" s="83">
        <f>(N89*'Conversion factors BATT'!$B78+(1-N89)*'Conversion factors BATT'!$B99)*N112</f>
        <v>0</v>
      </c>
      <c r="AB112" s="83">
        <f>(O89*'Conversion factors BATT'!$B78+(1-O89)*'Conversion factors BATT'!$B99)*O112</f>
        <v>0</v>
      </c>
      <c r="AC112" s="83">
        <f>(P89*'Conversion factors BATT'!$B78+(1-P89)*'Conversion factors BATT'!$B99)*P112</f>
        <v>0</v>
      </c>
      <c r="AD112" s="83">
        <f t="shared" si="41"/>
        <v>0</v>
      </c>
      <c r="AE112" s="28"/>
      <c r="AF112" s="26"/>
      <c r="AG112" s="28"/>
      <c r="AH112" s="28"/>
      <c r="AI112" s="28"/>
      <c r="AJ112" s="28"/>
      <c r="AK112" s="26"/>
    </row>
    <row r="113" spans="1:37" ht="31" customHeight="1" thickBot="1" x14ac:dyDescent="0.4">
      <c r="A113" s="23" t="s">
        <v>450</v>
      </c>
      <c r="B113" s="23" t="s">
        <v>456</v>
      </c>
      <c r="C113" s="23" t="s">
        <v>139</v>
      </c>
      <c r="D113" s="22" t="s">
        <v>499</v>
      </c>
      <c r="E113" s="23" t="s">
        <v>135</v>
      </c>
      <c r="F113" s="26" t="s">
        <v>107</v>
      </c>
      <c r="G113" s="87"/>
      <c r="H113" s="87"/>
      <c r="I113" s="87"/>
      <c r="J113" s="87"/>
      <c r="K113" s="87"/>
      <c r="L113" s="87"/>
      <c r="M113" s="87"/>
      <c r="N113" s="87"/>
      <c r="O113" s="87"/>
      <c r="P113" s="87"/>
      <c r="Q113" s="81">
        <f t="shared" si="42"/>
        <v>0</v>
      </c>
      <c r="R113" s="201"/>
      <c r="S113" s="28"/>
      <c r="T113" s="83">
        <f>(G90*'Conversion factors BATT'!$B79+(1-G90)*'Conversion factors BATT'!$B100)*G113</f>
        <v>0</v>
      </c>
      <c r="U113" s="83">
        <f>(H90*'Conversion factors BATT'!$B79+(1-H90)*'Conversion factors BATT'!$B100)*H113</f>
        <v>0</v>
      </c>
      <c r="V113" s="83">
        <f>(I90*'Conversion factors BATT'!$B79+(1-I90)*'Conversion factors BATT'!$B100)*I113</f>
        <v>0</v>
      </c>
      <c r="W113" s="83">
        <f>(J90*'Conversion factors BATT'!$B79+(1-J90)*'Conversion factors BATT'!$B100)*J113</f>
        <v>0</v>
      </c>
      <c r="X113" s="83">
        <f>(K90*'Conversion factors BATT'!$B79+(1-K90)*'Conversion factors BATT'!$B100)*K113</f>
        <v>0</v>
      </c>
      <c r="Y113" s="83">
        <f>(L90*'Conversion factors BATT'!$B79+(1-L90)*'Conversion factors BATT'!$B100)*L113</f>
        <v>0</v>
      </c>
      <c r="Z113" s="83">
        <f>(M90*'Conversion factors BATT'!$B79+(1-M90)*'Conversion factors BATT'!$B100)*M113</f>
        <v>0</v>
      </c>
      <c r="AA113" s="83">
        <f>(N90*'Conversion factors BATT'!$B79+(1-N90)*'Conversion factors BATT'!$B100)*N113</f>
        <v>0</v>
      </c>
      <c r="AB113" s="83">
        <f>(O90*'Conversion factors BATT'!$B79+(1-O90)*'Conversion factors BATT'!$B100)*O113</f>
        <v>0</v>
      </c>
      <c r="AC113" s="83">
        <f>(P90*'Conversion factors BATT'!$B79+(1-P90)*'Conversion factors BATT'!$B100)*P113</f>
        <v>0</v>
      </c>
      <c r="AD113" s="83">
        <f t="shared" si="41"/>
        <v>0</v>
      </c>
      <c r="AE113" s="28"/>
      <c r="AF113" s="26"/>
      <c r="AG113" s="28"/>
      <c r="AH113" s="28"/>
      <c r="AI113" s="28"/>
      <c r="AJ113" s="28"/>
      <c r="AK113" s="26"/>
    </row>
    <row r="114" spans="1:37" ht="31" customHeight="1" thickBot="1" x14ac:dyDescent="0.4">
      <c r="A114" s="23" t="s">
        <v>450</v>
      </c>
      <c r="B114" s="23" t="s">
        <v>457</v>
      </c>
      <c r="C114" s="23" t="s">
        <v>140</v>
      </c>
      <c r="D114" s="22" t="s">
        <v>500</v>
      </c>
      <c r="E114" s="23" t="s">
        <v>135</v>
      </c>
      <c r="F114" s="26" t="s">
        <v>107</v>
      </c>
      <c r="G114" s="87"/>
      <c r="H114" s="87"/>
      <c r="I114" s="87"/>
      <c r="J114" s="87"/>
      <c r="K114" s="87"/>
      <c r="L114" s="87"/>
      <c r="M114" s="87"/>
      <c r="N114" s="87"/>
      <c r="O114" s="87"/>
      <c r="P114" s="87"/>
      <c r="Q114" s="81">
        <f t="shared" si="42"/>
        <v>0</v>
      </c>
      <c r="R114" s="201"/>
      <c r="S114" s="28"/>
      <c r="T114" s="83">
        <f>(G91*'Conversion factors BATT'!$B80+(1-G91)*'Conversion factors BATT'!$B101)*G114</f>
        <v>0</v>
      </c>
      <c r="U114" s="83">
        <f>(H91*'Conversion factors BATT'!$B80+(1-H91)*'Conversion factors BATT'!$B101)*H114</f>
        <v>0</v>
      </c>
      <c r="V114" s="83">
        <f>(I91*'Conversion factors BATT'!$B80+(1-I91)*'Conversion factors BATT'!$B101)*I114</f>
        <v>0</v>
      </c>
      <c r="W114" s="83">
        <f>(J91*'Conversion factors BATT'!$B80+(1-J91)*'Conversion factors BATT'!$B101)*J114</f>
        <v>0</v>
      </c>
      <c r="X114" s="83">
        <f>(K91*'Conversion factors BATT'!$B80+(1-K91)*'Conversion factors BATT'!$B101)*K114</f>
        <v>0</v>
      </c>
      <c r="Y114" s="83">
        <f>(L91*'Conversion factors BATT'!$B80+(1-L91)*'Conversion factors BATT'!$B101)*L114</f>
        <v>0</v>
      </c>
      <c r="Z114" s="83">
        <f>(M91*'Conversion factors BATT'!$B80+(1-M91)*'Conversion factors BATT'!$B101)*M114</f>
        <v>0</v>
      </c>
      <c r="AA114" s="83">
        <f>(N91*'Conversion factors BATT'!$B80+(1-N91)*'Conversion factors BATT'!$B101)*N114</f>
        <v>0</v>
      </c>
      <c r="AB114" s="83">
        <f>(O91*'Conversion factors BATT'!$B80+(1-O91)*'Conversion factors BATT'!$B101)*O114</f>
        <v>0</v>
      </c>
      <c r="AC114" s="83">
        <f>(P91*'Conversion factors BATT'!$B80+(1-P91)*'Conversion factors BATT'!$B101)*P114</f>
        <v>0</v>
      </c>
      <c r="AD114" s="83">
        <f t="shared" si="41"/>
        <v>0</v>
      </c>
      <c r="AE114" s="28"/>
      <c r="AF114" s="26"/>
      <c r="AG114" s="28"/>
      <c r="AH114" s="28"/>
      <c r="AI114" s="28"/>
      <c r="AJ114" s="28"/>
      <c r="AK114" s="26"/>
    </row>
    <row r="115" spans="1:37" ht="31" customHeight="1" thickBot="1" x14ac:dyDescent="0.4">
      <c r="A115" s="23" t="s">
        <v>450</v>
      </c>
      <c r="B115" s="23" t="s">
        <v>458</v>
      </c>
      <c r="C115" s="23" t="s">
        <v>141</v>
      </c>
      <c r="D115" s="22" t="s">
        <v>501</v>
      </c>
      <c r="E115" s="23" t="s">
        <v>135</v>
      </c>
      <c r="F115" s="26" t="s">
        <v>107</v>
      </c>
      <c r="G115" s="87">
        <f>G22*Assumptions!$B$29</f>
        <v>2854.6559999999999</v>
      </c>
      <c r="H115" s="87">
        <f>H22*Assumptions!$B$29</f>
        <v>5709.3119999999999</v>
      </c>
      <c r="I115" s="87">
        <f>I22*Assumptions!$B$29</f>
        <v>5709.3119999999999</v>
      </c>
      <c r="J115" s="87">
        <f>J22*Assumptions!$B$29</f>
        <v>5709.3119999999999</v>
      </c>
      <c r="K115" s="87">
        <f>K22*Assumptions!$B$29</f>
        <v>5709.3119999999999</v>
      </c>
      <c r="L115" s="87">
        <f>L22*Assumptions!$B$29</f>
        <v>5709.3119999999999</v>
      </c>
      <c r="M115" s="87">
        <f>M22*Assumptions!$B$29</f>
        <v>5709.3119999999999</v>
      </c>
      <c r="N115" s="87">
        <f>N22*Assumptions!$B$29</f>
        <v>5709.3119999999999</v>
      </c>
      <c r="O115" s="87">
        <f>O22*Assumptions!$B$29</f>
        <v>5709.3119999999999</v>
      </c>
      <c r="P115" s="87">
        <f>P22*Assumptions!$B$29</f>
        <v>5709.3119999999999</v>
      </c>
      <c r="Q115" s="81">
        <f t="shared" si="42"/>
        <v>54238.463999999993</v>
      </c>
      <c r="R115" s="201"/>
      <c r="S115" s="28"/>
      <c r="T115" s="83">
        <f>(G92*'Conversion factors BATT'!$B81+(1-G92)*'Conversion factors BATT'!$B102)*G115</f>
        <v>673.69881599999997</v>
      </c>
      <c r="U115" s="83">
        <f>(H92*'Conversion factors BATT'!$B81+(1-H92)*'Conversion factors BATT'!$B102)*H115</f>
        <v>1347.3976319999999</v>
      </c>
      <c r="V115" s="83">
        <f>(I92*'Conversion factors BATT'!$B81+(1-I92)*'Conversion factors BATT'!$B102)*I115</f>
        <v>1347.3976319999999</v>
      </c>
      <c r="W115" s="83">
        <f>(J92*'Conversion factors BATT'!$B81+(1-J92)*'Conversion factors BATT'!$B102)*J115</f>
        <v>1347.3976319999999</v>
      </c>
      <c r="X115" s="83">
        <f>(K92*'Conversion factors BATT'!$B81+(1-K92)*'Conversion factors BATT'!$B102)*K115</f>
        <v>1347.3976319999999</v>
      </c>
      <c r="Y115" s="83">
        <f>(L92*'Conversion factors BATT'!$B81+(1-L92)*'Conversion factors BATT'!$B102)*L115</f>
        <v>1347.3976319999999</v>
      </c>
      <c r="Z115" s="83">
        <f>(M92*'Conversion factors BATT'!$B81+(1-M92)*'Conversion factors BATT'!$B102)*M115</f>
        <v>1347.3976319999999</v>
      </c>
      <c r="AA115" s="83">
        <f>(N92*'Conversion factors BATT'!$B81+(1-N92)*'Conversion factors BATT'!$B102)*N115</f>
        <v>1347.3976319999999</v>
      </c>
      <c r="AB115" s="83">
        <f>(O92*'Conversion factors BATT'!$B81+(1-O92)*'Conversion factors BATT'!$B102)*O115</f>
        <v>1347.3976319999999</v>
      </c>
      <c r="AC115" s="83">
        <f>(P92*'Conversion factors BATT'!$B81+(1-P92)*'Conversion factors BATT'!$B102)*P115</f>
        <v>1347.3976319999999</v>
      </c>
      <c r="AD115" s="83">
        <f t="shared" si="41"/>
        <v>12800.277504</v>
      </c>
      <c r="AE115" s="28" t="s">
        <v>831</v>
      </c>
      <c r="AF115" s="26" t="s">
        <v>842</v>
      </c>
      <c r="AG115" s="28"/>
      <c r="AH115" s="28" t="s">
        <v>843</v>
      </c>
      <c r="AI115" s="172" t="s">
        <v>834</v>
      </c>
      <c r="AJ115" s="28" t="s">
        <v>849</v>
      </c>
      <c r="AK115" s="26" t="s">
        <v>846</v>
      </c>
    </row>
    <row r="116" spans="1:37" ht="31" customHeight="1" thickBot="1" x14ac:dyDescent="0.4">
      <c r="A116" s="23" t="s">
        <v>450</v>
      </c>
      <c r="B116" s="23" t="s">
        <v>459</v>
      </c>
      <c r="C116" s="23" t="s">
        <v>142</v>
      </c>
      <c r="D116" s="22" t="s">
        <v>502</v>
      </c>
      <c r="E116" s="23" t="s">
        <v>135</v>
      </c>
      <c r="F116" s="26" t="s">
        <v>107</v>
      </c>
      <c r="G116" s="87"/>
      <c r="H116" s="87"/>
      <c r="I116" s="87"/>
      <c r="J116" s="87"/>
      <c r="K116" s="87"/>
      <c r="L116" s="87"/>
      <c r="M116" s="87"/>
      <c r="N116" s="87"/>
      <c r="O116" s="87"/>
      <c r="P116" s="87"/>
      <c r="Q116" s="81">
        <f t="shared" si="42"/>
        <v>0</v>
      </c>
      <c r="R116" s="201"/>
      <c r="S116" s="28"/>
      <c r="T116" s="83">
        <f>(G93*'Conversion factors BATT'!$B82+(1-G93)*'Conversion factors BATT'!$B103)*G116</f>
        <v>0</v>
      </c>
      <c r="U116" s="83">
        <f>(H93*'Conversion factors BATT'!$B82+(1-H93)*'Conversion factors BATT'!$B103)*H116</f>
        <v>0</v>
      </c>
      <c r="V116" s="83">
        <f>(I93*'Conversion factors BATT'!$B82+(1-I93)*'Conversion factors BATT'!$B103)*I116</f>
        <v>0</v>
      </c>
      <c r="W116" s="83">
        <f>(J93*'Conversion factors BATT'!$B82+(1-J93)*'Conversion factors BATT'!$B103)*J116</f>
        <v>0</v>
      </c>
      <c r="X116" s="83">
        <f>(K93*'Conversion factors BATT'!$B82+(1-K93)*'Conversion factors BATT'!$B103)*K116</f>
        <v>0</v>
      </c>
      <c r="Y116" s="83">
        <f>(L93*'Conversion factors BATT'!$B82+(1-L93)*'Conversion factors BATT'!$B103)*L116</f>
        <v>0</v>
      </c>
      <c r="Z116" s="83">
        <f>(M93*'Conversion factors BATT'!$B82+(1-M93)*'Conversion factors BATT'!$B103)*M116</f>
        <v>0</v>
      </c>
      <c r="AA116" s="83">
        <f>(N93*'Conversion factors BATT'!$B82+(1-N93)*'Conversion factors BATT'!$B103)*N116</f>
        <v>0</v>
      </c>
      <c r="AB116" s="83">
        <f>(O93*'Conversion factors BATT'!$B82+(1-O93)*'Conversion factors BATT'!$B103)*O116</f>
        <v>0</v>
      </c>
      <c r="AC116" s="83">
        <f>(P93*'Conversion factors BATT'!$B82+(1-P93)*'Conversion factors BATT'!$B103)*P116</f>
        <v>0</v>
      </c>
      <c r="AD116" s="83">
        <f t="shared" si="41"/>
        <v>0</v>
      </c>
      <c r="AE116" s="28"/>
      <c r="AF116" s="26"/>
      <c r="AG116" s="28"/>
      <c r="AH116" s="28"/>
      <c r="AI116" s="28"/>
      <c r="AJ116" s="28"/>
      <c r="AK116" s="26"/>
    </row>
    <row r="117" spans="1:37" ht="31" customHeight="1" thickBot="1" x14ac:dyDescent="0.4">
      <c r="A117" s="23" t="s">
        <v>450</v>
      </c>
      <c r="B117" s="23" t="s">
        <v>460</v>
      </c>
      <c r="C117" s="23" t="s">
        <v>143</v>
      </c>
      <c r="D117" s="22" t="s">
        <v>503</v>
      </c>
      <c r="E117" s="23" t="s">
        <v>135</v>
      </c>
      <c r="F117" s="26" t="s">
        <v>107</v>
      </c>
      <c r="G117" s="87"/>
      <c r="H117" s="87"/>
      <c r="I117" s="87"/>
      <c r="J117" s="87"/>
      <c r="K117" s="87"/>
      <c r="L117" s="87"/>
      <c r="M117" s="87"/>
      <c r="N117" s="87"/>
      <c r="O117" s="87"/>
      <c r="P117" s="87"/>
      <c r="Q117" s="81">
        <f t="shared" si="42"/>
        <v>0</v>
      </c>
      <c r="R117" s="201"/>
      <c r="S117" s="28"/>
      <c r="T117" s="83">
        <f>(G94*'Conversion factors BATT'!$B83+(1-G94)*'Conversion factors BATT'!$B104)*G117</f>
        <v>0</v>
      </c>
      <c r="U117" s="83">
        <f>(H94*'Conversion factors BATT'!$B83+(1-H94)*'Conversion factors BATT'!$B104)*H117</f>
        <v>0</v>
      </c>
      <c r="V117" s="83">
        <f>(I94*'Conversion factors BATT'!$B83+(1-I94)*'Conversion factors BATT'!$B104)*I117</f>
        <v>0</v>
      </c>
      <c r="W117" s="83">
        <f>(J94*'Conversion factors BATT'!$B83+(1-J94)*'Conversion factors BATT'!$B104)*J117</f>
        <v>0</v>
      </c>
      <c r="X117" s="83">
        <f>(K94*'Conversion factors BATT'!$B83+(1-K94)*'Conversion factors BATT'!$B104)*K117</f>
        <v>0</v>
      </c>
      <c r="Y117" s="83">
        <f>(L94*'Conversion factors BATT'!$B83+(1-L94)*'Conversion factors BATT'!$B104)*L117</f>
        <v>0</v>
      </c>
      <c r="Z117" s="83">
        <f>(M94*'Conversion factors BATT'!$B83+(1-M94)*'Conversion factors BATT'!$B104)*M117</f>
        <v>0</v>
      </c>
      <c r="AA117" s="83">
        <f>(N94*'Conversion factors BATT'!$B83+(1-N94)*'Conversion factors BATT'!$B104)*N117</f>
        <v>0</v>
      </c>
      <c r="AB117" s="83">
        <f>(O94*'Conversion factors BATT'!$B83+(1-O94)*'Conversion factors BATT'!$B104)*O117</f>
        <v>0</v>
      </c>
      <c r="AC117" s="83">
        <f>(P94*'Conversion factors BATT'!$B83+(1-P94)*'Conversion factors BATT'!$B104)*P117</f>
        <v>0</v>
      </c>
      <c r="AD117" s="83">
        <f t="shared" si="41"/>
        <v>0</v>
      </c>
      <c r="AE117" s="28"/>
      <c r="AF117" s="26"/>
      <c r="AG117" s="28"/>
      <c r="AH117" s="28"/>
      <c r="AI117" s="28"/>
      <c r="AJ117" s="28"/>
      <c r="AK117" s="26"/>
    </row>
    <row r="118" spans="1:37" ht="31" customHeight="1" thickBot="1" x14ac:dyDescent="0.4">
      <c r="A118" s="23" t="s">
        <v>450</v>
      </c>
      <c r="B118" s="23" t="s">
        <v>461</v>
      </c>
      <c r="C118" s="23" t="s">
        <v>144</v>
      </c>
      <c r="D118" s="22" t="s">
        <v>504</v>
      </c>
      <c r="E118" s="23" t="s">
        <v>135</v>
      </c>
      <c r="F118" s="26" t="s">
        <v>107</v>
      </c>
      <c r="G118" s="87">
        <f>G22*Assumptions!$B$30</f>
        <v>1992.52</v>
      </c>
      <c r="H118" s="87">
        <f>H22*Assumptions!$B$30</f>
        <v>3985.04</v>
      </c>
      <c r="I118" s="87">
        <f>I22*Assumptions!$B$30</f>
        <v>3985.04</v>
      </c>
      <c r="J118" s="87">
        <f>J22*Assumptions!$B$30</f>
        <v>3985.04</v>
      </c>
      <c r="K118" s="87">
        <f>K22*Assumptions!$B$30</f>
        <v>3985.04</v>
      </c>
      <c r="L118" s="87">
        <f>L22*Assumptions!$B$30</f>
        <v>3985.04</v>
      </c>
      <c r="M118" s="87">
        <f>M22*Assumptions!$B$30</f>
        <v>3985.04</v>
      </c>
      <c r="N118" s="87">
        <f>N22*Assumptions!$B$30</f>
        <v>3985.04</v>
      </c>
      <c r="O118" s="87">
        <f>O22*Assumptions!$B$30</f>
        <v>3985.04</v>
      </c>
      <c r="P118" s="87">
        <f>P22*Assumptions!$B$30</f>
        <v>3985.04</v>
      </c>
      <c r="Q118" s="81">
        <f t="shared" si="42"/>
        <v>37857.880000000005</v>
      </c>
      <c r="R118" s="201"/>
      <c r="S118" s="28"/>
      <c r="T118" s="83">
        <f>(G95*'Conversion factors BATT'!$B84+(1-G95)*'Conversion factors BATT'!$B105)*G118</f>
        <v>30684.808000000001</v>
      </c>
      <c r="U118" s="83">
        <f>(H95*'Conversion factors BATT'!$B84+(1-H95)*'Conversion factors BATT'!$B105)*H118</f>
        <v>61369.616000000002</v>
      </c>
      <c r="V118" s="83">
        <f>(I95*'Conversion factors BATT'!$B84+(1-I95)*'Conversion factors BATT'!$B105)*I118</f>
        <v>61369.616000000002</v>
      </c>
      <c r="W118" s="83">
        <f>(J95*'Conversion factors BATT'!$B84+(1-J95)*'Conversion factors BATT'!$B105)*J118</f>
        <v>61369.616000000002</v>
      </c>
      <c r="X118" s="83">
        <f>(K95*'Conversion factors BATT'!$B84+(1-K95)*'Conversion factors BATT'!$B105)*K118</f>
        <v>61369.616000000002</v>
      </c>
      <c r="Y118" s="83">
        <f>(L95*'Conversion factors BATT'!$B84+(1-L95)*'Conversion factors BATT'!$B105)*L118</f>
        <v>61369.616000000002</v>
      </c>
      <c r="Z118" s="83">
        <f>(M95*'Conversion factors BATT'!$B84+(1-M95)*'Conversion factors BATT'!$B105)*M118</f>
        <v>61369.616000000002</v>
      </c>
      <c r="AA118" s="83">
        <f>(N95*'Conversion factors BATT'!$B84+(1-N95)*'Conversion factors BATT'!$B105)*N118</f>
        <v>61369.616000000002</v>
      </c>
      <c r="AB118" s="83">
        <f>(O95*'Conversion factors BATT'!$B84+(1-O95)*'Conversion factors BATT'!$B105)*O118</f>
        <v>61369.616000000002</v>
      </c>
      <c r="AC118" s="83">
        <f>(P95*'Conversion factors BATT'!$B84+(1-P95)*'Conversion factors BATT'!$B105)*P118</f>
        <v>61369.616000000002</v>
      </c>
      <c r="AD118" s="83">
        <f t="shared" si="41"/>
        <v>583011.35199999996</v>
      </c>
      <c r="AE118" s="28" t="s">
        <v>831</v>
      </c>
      <c r="AF118" s="26" t="s">
        <v>842</v>
      </c>
      <c r="AG118" s="28"/>
      <c r="AH118" s="28" t="s">
        <v>843</v>
      </c>
      <c r="AI118" s="172" t="s">
        <v>834</v>
      </c>
      <c r="AJ118" s="28" t="s">
        <v>849</v>
      </c>
      <c r="AK118" s="26" t="s">
        <v>846</v>
      </c>
    </row>
    <row r="119" spans="1:37" ht="31" customHeight="1" thickBot="1" x14ac:dyDescent="0.4">
      <c r="A119" s="23" t="s">
        <v>450</v>
      </c>
      <c r="B119" s="23" t="s">
        <v>462</v>
      </c>
      <c r="C119" s="23" t="s">
        <v>145</v>
      </c>
      <c r="D119" s="22" t="s">
        <v>505</v>
      </c>
      <c r="E119" s="23" t="s">
        <v>135</v>
      </c>
      <c r="F119" s="26" t="s">
        <v>107</v>
      </c>
      <c r="G119" s="87"/>
      <c r="H119" s="87"/>
      <c r="I119" s="87"/>
      <c r="J119" s="87"/>
      <c r="K119" s="87"/>
      <c r="L119" s="87"/>
      <c r="M119" s="87"/>
      <c r="N119" s="87"/>
      <c r="O119" s="87"/>
      <c r="P119" s="87"/>
      <c r="Q119" s="81">
        <f t="shared" si="42"/>
        <v>0</v>
      </c>
      <c r="R119" s="201"/>
      <c r="S119" s="28"/>
      <c r="T119" s="83">
        <f>(G96*'Conversion factors BATT'!$B85+(1-G96)*'Conversion factors BATT'!$B106)*G119</f>
        <v>0</v>
      </c>
      <c r="U119" s="83">
        <f>(H96*'Conversion factors BATT'!$B85+(1-H96)*'Conversion factors BATT'!$B106)*H119</f>
        <v>0</v>
      </c>
      <c r="V119" s="83">
        <f>(I96*'Conversion factors BATT'!$B85+(1-I96)*'Conversion factors BATT'!$B106)*I119</f>
        <v>0</v>
      </c>
      <c r="W119" s="83">
        <f>(J96*'Conversion factors BATT'!$B85+(1-J96)*'Conversion factors BATT'!$B106)*J119</f>
        <v>0</v>
      </c>
      <c r="X119" s="83">
        <f>(K96*'Conversion factors BATT'!$B85+(1-K96)*'Conversion factors BATT'!$B106)*K119</f>
        <v>0</v>
      </c>
      <c r="Y119" s="83">
        <f>(L96*'Conversion factors BATT'!$B85+(1-L96)*'Conversion factors BATT'!$B106)*L119</f>
        <v>0</v>
      </c>
      <c r="Z119" s="83">
        <f>(M96*'Conversion factors BATT'!$B85+(1-M96)*'Conversion factors BATT'!$B106)*M119</f>
        <v>0</v>
      </c>
      <c r="AA119" s="83">
        <f>(N96*'Conversion factors BATT'!$B85+(1-N96)*'Conversion factors BATT'!$B106)*N119</f>
        <v>0</v>
      </c>
      <c r="AB119" s="83">
        <f>(O96*'Conversion factors BATT'!$B85+(1-O96)*'Conversion factors BATT'!$B106)*O119</f>
        <v>0</v>
      </c>
      <c r="AC119" s="83">
        <f>(P96*'Conversion factors BATT'!$B85+(1-P96)*'Conversion factors BATT'!$B106)*P119</f>
        <v>0</v>
      </c>
      <c r="AD119" s="83">
        <f t="shared" si="41"/>
        <v>0</v>
      </c>
      <c r="AE119" s="28"/>
      <c r="AF119" s="26"/>
      <c r="AG119" s="28"/>
      <c r="AH119" s="28"/>
      <c r="AI119" s="28"/>
      <c r="AJ119" s="28"/>
      <c r="AK119" s="26"/>
    </row>
    <row r="120" spans="1:37" ht="31" customHeight="1" thickBot="1" x14ac:dyDescent="0.4">
      <c r="A120" s="23" t="s">
        <v>450</v>
      </c>
      <c r="B120" s="23" t="s">
        <v>543</v>
      </c>
      <c r="C120" s="23" t="s">
        <v>535</v>
      </c>
      <c r="D120" s="22" t="s">
        <v>550</v>
      </c>
      <c r="E120" s="23" t="s">
        <v>135</v>
      </c>
      <c r="F120" s="26" t="s">
        <v>107</v>
      </c>
      <c r="G120" s="87"/>
      <c r="H120" s="87"/>
      <c r="I120" s="87"/>
      <c r="J120" s="87"/>
      <c r="K120" s="87"/>
      <c r="L120" s="87"/>
      <c r="M120" s="87"/>
      <c r="N120" s="87"/>
      <c r="O120" s="87"/>
      <c r="P120" s="87"/>
      <c r="Q120" s="81">
        <f t="shared" ref="Q120:Q121" si="43">SUM(G120:P120)</f>
        <v>0</v>
      </c>
      <c r="R120" s="201"/>
      <c r="S120" s="28"/>
      <c r="T120" s="83">
        <f>(G97*'Conversion factors BATT'!$B86+(1-G97)*'Conversion factors BATT'!$B107)*G120</f>
        <v>0</v>
      </c>
      <c r="U120" s="83">
        <f>(H97*'Conversion factors BATT'!$B86+(1-H97)*'Conversion factors BATT'!$B107)*H120</f>
        <v>0</v>
      </c>
      <c r="V120" s="83">
        <f>(I97*'Conversion factors BATT'!$B86+(1-I97)*'Conversion factors BATT'!$B107)*I120</f>
        <v>0</v>
      </c>
      <c r="W120" s="83">
        <f>(J97*'Conversion factors BATT'!$B86+(1-J97)*'Conversion factors BATT'!$B107)*J120</f>
        <v>0</v>
      </c>
      <c r="X120" s="83">
        <f>(K97*'Conversion factors BATT'!$B86+(1-K97)*'Conversion factors BATT'!$B107)*K120</f>
        <v>0</v>
      </c>
      <c r="Y120" s="83">
        <f>(L97*'Conversion factors BATT'!$B86+(1-L97)*'Conversion factors BATT'!$B107)*L120</f>
        <v>0</v>
      </c>
      <c r="Z120" s="83">
        <f>(M97*'Conversion factors BATT'!$B86+(1-M97)*'Conversion factors BATT'!$B107)*M120</f>
        <v>0</v>
      </c>
      <c r="AA120" s="83">
        <f>(N97*'Conversion factors BATT'!$B86+(1-N97)*'Conversion factors BATT'!$B107)*N120</f>
        <v>0</v>
      </c>
      <c r="AB120" s="83">
        <f>(O97*'Conversion factors BATT'!$B86+(1-O97)*'Conversion factors BATT'!$B107)*O120</f>
        <v>0</v>
      </c>
      <c r="AC120" s="83">
        <f>(P97*'Conversion factors BATT'!$B86+(1-P97)*'Conversion factors BATT'!$B107)*P120</f>
        <v>0</v>
      </c>
      <c r="AD120" s="83">
        <f t="shared" ref="AD120:AD121" si="44">SUM(T120:AC120)</f>
        <v>0</v>
      </c>
      <c r="AE120" s="28"/>
      <c r="AF120" s="26"/>
      <c r="AG120" s="28"/>
      <c r="AH120" s="28"/>
      <c r="AI120" s="28"/>
      <c r="AJ120" s="28"/>
      <c r="AK120" s="26"/>
    </row>
    <row r="121" spans="1:37" ht="31" customHeight="1" thickBot="1" x14ac:dyDescent="0.4">
      <c r="A121" s="23" t="s">
        <v>450</v>
      </c>
      <c r="B121" s="23" t="s">
        <v>544</v>
      </c>
      <c r="C121" s="23" t="s">
        <v>526</v>
      </c>
      <c r="D121" s="22" t="s">
        <v>551</v>
      </c>
      <c r="E121" s="23" t="s">
        <v>135</v>
      </c>
      <c r="F121" s="26" t="s">
        <v>107</v>
      </c>
      <c r="G121" s="87"/>
      <c r="H121" s="87"/>
      <c r="I121" s="87"/>
      <c r="J121" s="87"/>
      <c r="K121" s="87"/>
      <c r="L121" s="87"/>
      <c r="M121" s="87"/>
      <c r="N121" s="87"/>
      <c r="O121" s="87"/>
      <c r="P121" s="87"/>
      <c r="Q121" s="81">
        <f t="shared" si="43"/>
        <v>0</v>
      </c>
      <c r="R121" s="201"/>
      <c r="S121" s="28"/>
      <c r="T121" s="83">
        <f>(G98*'Conversion factors BATT'!$B87+(1-G98)*'Conversion factors BATT'!$B108)*G121</f>
        <v>0</v>
      </c>
      <c r="U121" s="83">
        <f>(H98*'Conversion factors BATT'!$B87+(1-H98)*'Conversion factors BATT'!$B108)*H121</f>
        <v>0</v>
      </c>
      <c r="V121" s="83">
        <f>(I98*'Conversion factors BATT'!$B87+(1-I98)*'Conversion factors BATT'!$B108)*I121</f>
        <v>0</v>
      </c>
      <c r="W121" s="83">
        <f>(J98*'Conversion factors BATT'!$B87+(1-J98)*'Conversion factors BATT'!$B108)*J121</f>
        <v>0</v>
      </c>
      <c r="X121" s="83">
        <f>(K98*'Conversion factors BATT'!$B87+(1-K98)*'Conversion factors BATT'!$B108)*K121</f>
        <v>0</v>
      </c>
      <c r="Y121" s="83">
        <f>(L98*'Conversion factors BATT'!$B87+(1-L98)*'Conversion factors BATT'!$B108)*L121</f>
        <v>0</v>
      </c>
      <c r="Z121" s="83">
        <f>(M98*'Conversion factors BATT'!$B87+(1-M98)*'Conversion factors BATT'!$B108)*M121</f>
        <v>0</v>
      </c>
      <c r="AA121" s="83">
        <f>(N98*'Conversion factors BATT'!$B87+(1-N98)*'Conversion factors BATT'!$B108)*N121</f>
        <v>0</v>
      </c>
      <c r="AB121" s="83">
        <f>(O98*'Conversion factors BATT'!$B87+(1-O98)*'Conversion factors BATT'!$B108)*O121</f>
        <v>0</v>
      </c>
      <c r="AC121" s="83">
        <f>(P98*'Conversion factors BATT'!$B87+(1-P98)*'Conversion factors BATT'!$B108)*P121</f>
        <v>0</v>
      </c>
      <c r="AD121" s="83">
        <f t="shared" si="44"/>
        <v>0</v>
      </c>
      <c r="AE121" s="28"/>
      <c r="AF121" s="26"/>
      <c r="AG121" s="28"/>
      <c r="AH121" s="28"/>
      <c r="AI121" s="28"/>
      <c r="AJ121" s="28"/>
      <c r="AK121" s="26"/>
    </row>
    <row r="122" spans="1:37" ht="31" customHeight="1" thickBot="1" x14ac:dyDescent="0.4">
      <c r="A122" s="23" t="s">
        <v>450</v>
      </c>
      <c r="B122" s="23" t="s">
        <v>545</v>
      </c>
      <c r="C122" s="23" t="s">
        <v>529</v>
      </c>
      <c r="D122" s="22" t="s">
        <v>552</v>
      </c>
      <c r="E122" s="23" t="s">
        <v>135</v>
      </c>
      <c r="F122" s="26" t="s">
        <v>107</v>
      </c>
      <c r="G122" s="87"/>
      <c r="H122" s="87"/>
      <c r="I122" s="87"/>
      <c r="J122" s="87"/>
      <c r="K122" s="87"/>
      <c r="L122" s="87"/>
      <c r="M122" s="87"/>
      <c r="N122" s="87"/>
      <c r="O122" s="87"/>
      <c r="P122" s="87"/>
      <c r="Q122" s="81">
        <f t="shared" ref="Q122" si="45">SUM(G122:P122)</f>
        <v>0</v>
      </c>
      <c r="R122" s="201"/>
      <c r="S122" s="28"/>
      <c r="T122" s="83">
        <f>(G99*'Conversion factors BATT'!$B88+(1-G99)*'Conversion factors BATT'!$B109)*G122</f>
        <v>0</v>
      </c>
      <c r="U122" s="83">
        <f>(H99*'Conversion factors BATT'!$B88+(1-H99)*'Conversion factors BATT'!$B109)*H122</f>
        <v>0</v>
      </c>
      <c r="V122" s="83">
        <f>(I99*'Conversion factors BATT'!$B88+(1-I99)*'Conversion factors BATT'!$B109)*I122</f>
        <v>0</v>
      </c>
      <c r="W122" s="83">
        <f>(J99*'Conversion factors BATT'!$B88+(1-J99)*'Conversion factors BATT'!$B109)*J122</f>
        <v>0</v>
      </c>
      <c r="X122" s="83">
        <f>(K99*'Conversion factors BATT'!$B88+(1-K99)*'Conversion factors BATT'!$B109)*K122</f>
        <v>0</v>
      </c>
      <c r="Y122" s="83">
        <f>(L99*'Conversion factors BATT'!$B88+(1-L99)*'Conversion factors BATT'!$B109)*L122</f>
        <v>0</v>
      </c>
      <c r="Z122" s="83">
        <f>(M99*'Conversion factors BATT'!$B88+(1-M99)*'Conversion factors BATT'!$B109)*M122</f>
        <v>0</v>
      </c>
      <c r="AA122" s="83">
        <f>(N99*'Conversion factors BATT'!$B88+(1-N99)*'Conversion factors BATT'!$B109)*N122</f>
        <v>0</v>
      </c>
      <c r="AB122" s="83">
        <f>(O99*'Conversion factors BATT'!$B88+(1-O99)*'Conversion factors BATT'!$B109)*O122</f>
        <v>0</v>
      </c>
      <c r="AC122" s="83">
        <f>(P99*'Conversion factors BATT'!$B88+(1-P99)*'Conversion factors BATT'!$B109)*P122</f>
        <v>0</v>
      </c>
      <c r="AD122" s="83">
        <f t="shared" ref="AD122" si="46">SUM(T122:AC122)</f>
        <v>0</v>
      </c>
      <c r="AE122" s="28"/>
      <c r="AF122" s="26"/>
      <c r="AG122" s="28"/>
      <c r="AH122" s="28"/>
      <c r="AI122" s="28"/>
      <c r="AJ122" s="28"/>
      <c r="AK122" s="26"/>
    </row>
    <row r="123" spans="1:37" ht="31" customHeight="1" thickBot="1" x14ac:dyDescent="0.4">
      <c r="A123" s="23" t="s">
        <v>450</v>
      </c>
      <c r="B123" s="23" t="s">
        <v>629</v>
      </c>
      <c r="C123" s="23" t="s">
        <v>618</v>
      </c>
      <c r="D123" s="22" t="s">
        <v>630</v>
      </c>
      <c r="E123" s="23" t="s">
        <v>135</v>
      </c>
      <c r="F123" s="26" t="s">
        <v>107</v>
      </c>
      <c r="G123" s="87"/>
      <c r="H123" s="87"/>
      <c r="I123" s="87"/>
      <c r="J123" s="87"/>
      <c r="K123" s="87"/>
      <c r="L123" s="87"/>
      <c r="M123" s="87"/>
      <c r="N123" s="87"/>
      <c r="O123" s="87"/>
      <c r="P123" s="87"/>
      <c r="Q123" s="81">
        <f t="shared" ref="Q123" si="47">SUM(G123:P123)</f>
        <v>0</v>
      </c>
      <c r="R123" s="201"/>
      <c r="S123" s="28"/>
      <c r="T123" s="83">
        <f>(G100*'Conversion factors BATT'!$B89+(1-G100)*'Conversion factors BATT'!$B110)*G123</f>
        <v>0</v>
      </c>
      <c r="U123" s="83">
        <f>(H100*'Conversion factors BATT'!$B89+(1-H100)*'Conversion factors BATT'!$B110)*H123</f>
        <v>0</v>
      </c>
      <c r="V123" s="83">
        <f>(I100*'Conversion factors BATT'!$B89+(1-I100)*'Conversion factors BATT'!$B110)*I123</f>
        <v>0</v>
      </c>
      <c r="W123" s="83">
        <f>(J100*'Conversion factors BATT'!$B89+(1-J100)*'Conversion factors BATT'!$B110)*J123</f>
        <v>0</v>
      </c>
      <c r="X123" s="83">
        <f>(K100*'Conversion factors BATT'!$B89+(1-K100)*'Conversion factors BATT'!$B110)*K123</f>
        <v>0</v>
      </c>
      <c r="Y123" s="83">
        <f>(L100*'Conversion factors BATT'!$B89+(1-L100)*'Conversion factors BATT'!$B110)*L123</f>
        <v>0</v>
      </c>
      <c r="Z123" s="83">
        <f>(M100*'Conversion factors BATT'!$B89+(1-M100)*'Conversion factors BATT'!$B110)*M123</f>
        <v>0</v>
      </c>
      <c r="AA123" s="83">
        <f>(N100*'Conversion factors BATT'!$B89+(1-N100)*'Conversion factors BATT'!$B110)*N123</f>
        <v>0</v>
      </c>
      <c r="AB123" s="83">
        <f>(O100*'Conversion factors BATT'!$B89+(1-O100)*'Conversion factors BATT'!$B110)*O123</f>
        <v>0</v>
      </c>
      <c r="AC123" s="83">
        <f>(P100*'Conversion factors BATT'!$B89+(1-P100)*'Conversion factors BATT'!$B110)*P123</f>
        <v>0</v>
      </c>
      <c r="AD123" s="83">
        <f t="shared" ref="AD123" si="48">SUM(T123:AC123)</f>
        <v>0</v>
      </c>
      <c r="AE123" s="28"/>
      <c r="AF123" s="26"/>
      <c r="AG123" s="28"/>
      <c r="AH123" s="28"/>
      <c r="AI123" s="28"/>
      <c r="AJ123" s="28"/>
      <c r="AK123" s="26"/>
    </row>
    <row r="124" spans="1:37" ht="31" customHeight="1" thickBot="1" x14ac:dyDescent="0.4">
      <c r="A124" s="23" t="s">
        <v>450</v>
      </c>
      <c r="B124" s="23" t="s">
        <v>547</v>
      </c>
      <c r="C124" s="23" t="s">
        <v>538</v>
      </c>
      <c r="D124" s="22" t="s">
        <v>546</v>
      </c>
      <c r="E124" s="23" t="s">
        <v>135</v>
      </c>
      <c r="F124" s="26" t="s">
        <v>107</v>
      </c>
      <c r="G124" s="87">
        <f>G22*Assumptions!$B$31</f>
        <v>4638.28</v>
      </c>
      <c r="H124" s="87">
        <f>H22*Assumptions!$B$31</f>
        <v>9276.56</v>
      </c>
      <c r="I124" s="87">
        <f>I22*Assumptions!$B$31</f>
        <v>9276.56</v>
      </c>
      <c r="J124" s="87">
        <f>J22*Assumptions!$B$31</f>
        <v>9276.56</v>
      </c>
      <c r="K124" s="87">
        <f>K22*Assumptions!$B$31</f>
        <v>9276.56</v>
      </c>
      <c r="L124" s="87">
        <f>L22*Assumptions!$B$31</f>
        <v>9276.56</v>
      </c>
      <c r="M124" s="87">
        <f>M22*Assumptions!$B$31</f>
        <v>9276.56</v>
      </c>
      <c r="N124" s="87">
        <f>N22*Assumptions!$B$31</f>
        <v>9276.56</v>
      </c>
      <c r="O124" s="87">
        <f>O22*Assumptions!$B$31</f>
        <v>9276.56</v>
      </c>
      <c r="P124" s="87">
        <f>P22*Assumptions!$B$31</f>
        <v>9276.56</v>
      </c>
      <c r="Q124" s="81">
        <f t="shared" si="42"/>
        <v>88127.319999999992</v>
      </c>
      <c r="R124" s="202"/>
      <c r="S124" s="28"/>
      <c r="T124" s="83">
        <f>(G101*'Conversion factors BATT'!$B90+(1-G101)*'Conversion factors BATT'!$B111)*G124</f>
        <v>22727.572</v>
      </c>
      <c r="U124" s="83">
        <f>(H101*'Conversion factors BATT'!$B90+(1-H101)*'Conversion factors BATT'!$B111)*H124</f>
        <v>45455.144</v>
      </c>
      <c r="V124" s="83">
        <f>(I101*'Conversion factors BATT'!$B90+(1-I101)*'Conversion factors BATT'!$B111)*I124</f>
        <v>45455.144</v>
      </c>
      <c r="W124" s="83">
        <f>(J101*'Conversion factors BATT'!$B90+(1-J101)*'Conversion factors BATT'!$B111)*J124</f>
        <v>45455.144</v>
      </c>
      <c r="X124" s="83">
        <f>(K101*'Conversion factors BATT'!$B90+(1-K101)*'Conversion factors BATT'!$B111)*K124</f>
        <v>45455.144</v>
      </c>
      <c r="Y124" s="83">
        <f>(L101*'Conversion factors BATT'!$B90+(1-L101)*'Conversion factors BATT'!$B111)*L124</f>
        <v>45455.144</v>
      </c>
      <c r="Z124" s="83">
        <f>(M101*'Conversion factors BATT'!$B90+(1-M101)*'Conversion factors BATT'!$B111)*M124</f>
        <v>45455.144</v>
      </c>
      <c r="AA124" s="83">
        <f>(N101*'Conversion factors BATT'!$B90+(1-N101)*'Conversion factors BATT'!$B111)*N124</f>
        <v>45455.144</v>
      </c>
      <c r="AB124" s="83">
        <f>(O101*'Conversion factors BATT'!$B90+(1-O101)*'Conversion factors BATT'!$B111)*O124</f>
        <v>45455.144</v>
      </c>
      <c r="AC124" s="83">
        <f>(P101*'Conversion factors BATT'!$B90+(1-P101)*'Conversion factors BATT'!$B111)*P124</f>
        <v>45455.144</v>
      </c>
      <c r="AD124" s="83">
        <f t="shared" si="41"/>
        <v>431823.8679999999</v>
      </c>
      <c r="AE124" s="28" t="s">
        <v>831</v>
      </c>
      <c r="AF124" s="26" t="s">
        <v>842</v>
      </c>
      <c r="AG124" s="28"/>
      <c r="AH124" s="28" t="s">
        <v>843</v>
      </c>
      <c r="AI124" s="172" t="s">
        <v>834</v>
      </c>
      <c r="AJ124" s="28" t="s">
        <v>849</v>
      </c>
      <c r="AK124" s="26" t="s">
        <v>846</v>
      </c>
    </row>
    <row r="125" spans="1:37" ht="42.65" customHeight="1" thickBot="1" x14ac:dyDescent="0.4">
      <c r="A125" s="109"/>
      <c r="B125" s="109"/>
      <c r="C125" s="110"/>
      <c r="D125" s="111" t="s">
        <v>159</v>
      </c>
      <c r="E125" s="110" t="s">
        <v>158</v>
      </c>
      <c r="F125" s="79"/>
      <c r="G125" s="79"/>
      <c r="H125" s="79"/>
      <c r="I125" s="79"/>
      <c r="J125" s="79"/>
      <c r="K125" s="79"/>
      <c r="L125" s="79"/>
      <c r="M125" s="79"/>
      <c r="N125" s="79"/>
      <c r="O125" s="79"/>
      <c r="P125" s="79"/>
      <c r="Q125" s="79"/>
      <c r="R125" s="79"/>
      <c r="S125" s="85"/>
      <c r="T125" s="83">
        <f t="shared" ref="T125:AC125" si="49">SUM(T104:T124)</f>
        <v>111717.38992479999</v>
      </c>
      <c r="U125" s="83">
        <f t="shared" si="49"/>
        <v>223434.77984959999</v>
      </c>
      <c r="V125" s="83">
        <f t="shared" si="49"/>
        <v>223434.77984959999</v>
      </c>
      <c r="W125" s="83">
        <f t="shared" si="49"/>
        <v>223434.77984959999</v>
      </c>
      <c r="X125" s="83">
        <f t="shared" si="49"/>
        <v>222713.16857288001</v>
      </c>
      <c r="Y125" s="83">
        <f t="shared" si="49"/>
        <v>222713.16857288001</v>
      </c>
      <c r="Z125" s="83">
        <f t="shared" si="49"/>
        <v>222713.16857288001</v>
      </c>
      <c r="AA125" s="83">
        <f t="shared" si="49"/>
        <v>222713.16857288001</v>
      </c>
      <c r="AB125" s="83">
        <f t="shared" si="49"/>
        <v>222713.16857288001</v>
      </c>
      <c r="AC125" s="83">
        <f t="shared" si="49"/>
        <v>221991.55729616</v>
      </c>
      <c r="AD125" s="83">
        <f t="shared" si="41"/>
        <v>2117579.1296341601</v>
      </c>
      <c r="AE125" s="28"/>
      <c r="AF125" s="26"/>
      <c r="AG125" s="28"/>
      <c r="AH125" s="28"/>
      <c r="AI125" s="28"/>
      <c r="AJ125" s="28"/>
      <c r="AK125" s="26"/>
    </row>
  </sheetData>
  <mergeCells count="6">
    <mergeCell ref="AE3:AK3"/>
    <mergeCell ref="AE4:AK4"/>
    <mergeCell ref="A3:R4"/>
    <mergeCell ref="S3:AD4"/>
    <mergeCell ref="R104:R124"/>
    <mergeCell ref="R46:R52"/>
  </mergeCells>
  <conditionalFormatting sqref="A41:A43">
    <cfRule type="duplicateValues" dxfId="1" priority="3"/>
  </conditionalFormatting>
  <conditionalFormatting sqref="B41:B43">
    <cfRule type="duplicateValues" dxfId="0" priority="1"/>
  </conditionalFormatting>
  <dataValidations count="15">
    <dataValidation type="list" allowBlank="1" showInputMessage="1" showErrorMessage="1" sqref="AI23 AI35 AF10:AF11 AF13:AF14 AI7:AI16 AI20 AF16:AF17 AF19 AF71:AF79 AF22 AF25:AF59 AF62:AF68 AF81:AF102 AF8 AF104:AF125" xr:uid="{00000000-0002-0000-04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K10:AK11 AN13 AN16 AK13:AK14 AN19 AN10:AN11 AK19 AK16:AK17 AK71:AK79 AK22 AK104:AK125 AK62:AK68 AK81:AK102 AN81:AN101 AN104:AN124 AK8 AK25:AK59" xr:uid="{00000000-0002-0000-0400-000001000000}">
      <formula1>"Primary Data,Third Party Data,Secondary Data - Calculated based on actual data,Secondary Data - Based on assumptions,Secondary Data - Extrapolation,Other evidence"</formula1>
    </dataValidation>
    <dataValidation type="list" allowBlank="1" showInputMessage="1" showErrorMessage="1" sqref="F102 F13:F14 F8 F19 F25:F33 F11 F22 F79 F16:F17 F104:F124" xr:uid="{00000000-0002-0000-0400-000002000000}">
      <formula1>"MWh,kWh,TJ,GJ,MJ,cubic meter,ton,kg,litres"</formula1>
    </dataValidation>
    <dataValidation type="list" allowBlank="1" showInputMessage="1" showErrorMessage="1" sqref="F81:F101 F37:F40 F44:F45 F53:F59" xr:uid="{00000000-0002-0000-0400-000003000000}">
      <formula1>"MWh,kWh,TJ,GJ,MJ,cubic meter,ton,kg,litres,%"</formula1>
    </dataValidation>
    <dataValidation type="list" allowBlank="1" showInputMessage="1" showErrorMessage="1" sqref="F55:F59" xr:uid="{00000000-0002-0000-0400-000005000000}">
      <formula1>"MWh,kWh,TJ,GJ,MJ,cubic meter,ton,kg,litres,kg/kWh,%"</formula1>
    </dataValidation>
    <dataValidation type="list" allowBlank="1" showInputMessage="1" showErrorMessage="1" sqref="F71" xr:uid="{00000000-0002-0000-0400-000006000000}">
      <formula1>"MWh,kWh,TJ,GJ,MJ,cubic meter,ton,kg,litres,kg_CO2/kg,kg_CO2/kWh"</formula1>
    </dataValidation>
    <dataValidation type="list" allowBlank="1" showInputMessage="1" showErrorMessage="1" sqref="F72:F77" xr:uid="{00000000-0002-0000-0400-000007000000}">
      <formula1>"MWh,kWh,TJ,GJ,MJ,cubic meter,ton,kg,litres,kg_CO2/kWh,kg_CO2/kg"</formula1>
    </dataValidation>
    <dataValidation type="list" allowBlank="1" showInputMessage="1" showErrorMessage="1" sqref="F10" xr:uid="{00000000-0002-0000-0400-000008000000}">
      <formula1>"MWh,kWh,TJ,GJ,MJ,cubic meter,ton,kg,litres,units"</formula1>
    </dataValidation>
    <dataValidation type="decimal" operator="greaterThanOrEqual" allowBlank="1" showInputMessage="1" showErrorMessage="1" sqref="G57:P59 G38:P40 G95:P101 G82:P92 G44:P45 G53:P55" xr:uid="{00000000-0002-0000-0400-000009000000}">
      <formula1>0</formula1>
    </dataValidation>
    <dataValidation type="list" allowBlank="1" showInputMessage="1" showErrorMessage="1" sqref="F125 F78 F34:F40 F44:F45 F53:F59" xr:uid="{00000000-0002-0000-0400-00000A000000}">
      <formula1>"MWh,kWh,TJ,GJ,MJ,cubic meter,ton,kg,litres,tCO2"</formula1>
    </dataValidation>
    <dataValidation type="list" allowBlank="1" showInputMessage="1" showErrorMessage="1" sqref="F41:F43 F62:F68" xr:uid="{DABCBE2A-D133-43D7-A610-35FC302C0767}">
      <formula1>"MWh,kWh,TJ,GJ,MJ,cubic meter,ton,kg,litres,kg CO2e / kg, kg CO2e / kWh, t CO2e / TJ"</formula1>
    </dataValidation>
    <dataValidation type="list" allowBlank="1" showInputMessage="1" showErrorMessage="1" sqref="F46:F52" xr:uid="{07981385-E22F-4A01-93F4-A3F3EB0474FB}">
      <formula1>"MWh,kWh,TJ,GJ,MJ,cubic meter,ton,kg,litres,%,kg / kWh"</formula1>
    </dataValidation>
    <dataValidation type="list" allowBlank="1" showInputMessage="1" showErrorMessage="1" sqref="F46:F52" xr:uid="{8612B4ED-04CE-4380-8D20-A60362DCC023}">
      <formula1>"MWh,kWh,TJ,GJ,MJ,cubic meter,ton,kg,litres,kg / kWh,%"</formula1>
    </dataValidation>
    <dataValidation type="list" allowBlank="1" showInputMessage="1" showErrorMessage="1" sqref="F46:F52" xr:uid="{099396FF-1431-4FD9-8274-3B771921579F}">
      <formula1>"MWh,kWh,TJ,GJ,MJ,cubic meter,ton,kg,litres,t CO2e,%,kg / kWh"</formula1>
    </dataValidation>
    <dataValidation type="decimal" operator="greaterThan" allowBlank="1" showInputMessage="1" showErrorMessage="1" sqref="G93:P94 G26:P27 G46:P52 G29:P32 G56:P56 G37:P37 G81:P81 G22:P22" xr:uid="{9E9ADBF3-31CC-46BF-A75D-056DC0CF95FD}">
      <formula1>-0.01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111"/>
  <sheetViews>
    <sheetView topLeftCell="A9" zoomScaleNormal="100" workbookViewId="0">
      <selection activeCell="C22" sqref="C22"/>
    </sheetView>
  </sheetViews>
  <sheetFormatPr defaultColWidth="9.26953125" defaultRowHeight="17.25" customHeight="1" x14ac:dyDescent="0.25"/>
  <cols>
    <col min="1" max="1" width="14.81640625" style="9" bestFit="1" customWidth="1"/>
    <col min="2" max="2" width="17.26953125" style="9" bestFit="1" customWidth="1"/>
    <col min="3" max="3" width="16.453125" style="9" bestFit="1" customWidth="1"/>
    <col min="4" max="4" width="28.26953125" style="9" customWidth="1"/>
    <col min="5" max="5" width="75.7265625" style="9" customWidth="1"/>
    <col min="6" max="6" width="40.81640625" style="9" customWidth="1"/>
    <col min="7" max="7" width="20.7265625" style="9" customWidth="1"/>
    <col min="8" max="8" width="20.54296875" style="9" customWidth="1"/>
    <col min="9" max="9" width="20.7265625" style="9" customWidth="1"/>
    <col min="10" max="10" width="20.453125" style="9" customWidth="1"/>
    <col min="11" max="16384" width="9.26953125" style="9"/>
  </cols>
  <sheetData>
    <row r="1" spans="1:10" s="152" customFormat="1" ht="27.75" customHeight="1" thickBot="1" x14ac:dyDescent="0.4">
      <c r="G1" s="205" t="s">
        <v>102</v>
      </c>
      <c r="H1" s="206"/>
      <c r="I1" s="206"/>
      <c r="J1" s="207"/>
    </row>
    <row r="2" spans="1:10" ht="29.15" customHeight="1" thickBot="1" x14ac:dyDescent="0.3">
      <c r="A2" s="10" t="s">
        <v>3</v>
      </c>
      <c r="B2" s="11" t="s">
        <v>66</v>
      </c>
      <c r="C2" s="11" t="s">
        <v>4</v>
      </c>
      <c r="D2" s="11" t="s">
        <v>5</v>
      </c>
      <c r="E2" s="11" t="s">
        <v>6</v>
      </c>
      <c r="F2" s="11" t="s">
        <v>7</v>
      </c>
      <c r="G2" s="32" t="s">
        <v>96</v>
      </c>
      <c r="H2" s="32" t="s">
        <v>34</v>
      </c>
      <c r="I2" s="32" t="s">
        <v>33</v>
      </c>
      <c r="J2" s="32" t="s">
        <v>44</v>
      </c>
    </row>
    <row r="3" spans="1:10" ht="17.25" customHeight="1" thickBot="1" x14ac:dyDescent="0.3">
      <c r="A3" s="59" t="s">
        <v>276</v>
      </c>
      <c r="B3" s="52"/>
      <c r="C3" s="53"/>
      <c r="D3" s="53"/>
      <c r="E3" s="60"/>
      <c r="F3" s="61"/>
      <c r="G3" s="52"/>
      <c r="H3" s="52"/>
      <c r="I3" s="53"/>
      <c r="J3" s="54"/>
    </row>
    <row r="4" spans="1:10" ht="41.25" customHeight="1" thickBot="1" x14ac:dyDescent="0.3">
      <c r="A4" s="38" t="s">
        <v>859</v>
      </c>
      <c r="B4" s="132">
        <v>0</v>
      </c>
      <c r="C4" s="40" t="s">
        <v>78</v>
      </c>
      <c r="D4" s="12" t="s">
        <v>860</v>
      </c>
      <c r="E4" s="12" t="s">
        <v>81</v>
      </c>
      <c r="F4" s="124" t="s">
        <v>861</v>
      </c>
      <c r="G4" s="55" t="s">
        <v>69</v>
      </c>
      <c r="H4" s="56"/>
      <c r="I4" s="57"/>
      <c r="J4" s="58"/>
    </row>
    <row r="5" spans="1:10" ht="41.25" customHeight="1" thickBot="1" x14ac:dyDescent="0.3">
      <c r="A5" s="38" t="s">
        <v>363</v>
      </c>
      <c r="B5" s="176">
        <v>48.8</v>
      </c>
      <c r="C5" s="40" t="s">
        <v>78</v>
      </c>
      <c r="D5" s="12" t="s">
        <v>356</v>
      </c>
      <c r="E5" s="159" t="s">
        <v>790</v>
      </c>
      <c r="F5" s="124"/>
      <c r="G5" s="55" t="s">
        <v>69</v>
      </c>
      <c r="H5" s="56"/>
      <c r="I5" s="57"/>
      <c r="J5" s="58"/>
    </row>
    <row r="6" spans="1:10" ht="41.25" customHeight="1" thickBot="1" x14ac:dyDescent="0.3">
      <c r="A6" s="38" t="s">
        <v>364</v>
      </c>
      <c r="B6" s="132">
        <f>580/B17/1000000</f>
        <v>161.11124000000001</v>
      </c>
      <c r="C6" s="40" t="s">
        <v>78</v>
      </c>
      <c r="D6" s="12" t="s">
        <v>355</v>
      </c>
      <c r="E6" s="12" t="s">
        <v>354</v>
      </c>
      <c r="F6" s="124"/>
      <c r="G6" s="55" t="s">
        <v>69</v>
      </c>
      <c r="H6" s="56"/>
      <c r="I6" s="57"/>
      <c r="J6" s="58"/>
    </row>
    <row r="7" spans="1:10" ht="41.25" customHeight="1" thickBot="1" x14ac:dyDescent="0.3">
      <c r="A7" s="40" t="s">
        <v>365</v>
      </c>
      <c r="B7" s="40">
        <v>57</v>
      </c>
      <c r="C7" s="40" t="s">
        <v>78</v>
      </c>
      <c r="D7" s="40" t="s">
        <v>79</v>
      </c>
      <c r="E7" s="44" t="s">
        <v>113</v>
      </c>
      <c r="F7" s="30" t="s">
        <v>77</v>
      </c>
      <c r="G7" s="55" t="s">
        <v>69</v>
      </c>
      <c r="H7" s="56"/>
      <c r="I7" s="57"/>
      <c r="J7" s="58"/>
    </row>
    <row r="8" spans="1:10" ht="41.25" customHeight="1" thickBot="1" x14ac:dyDescent="0.3">
      <c r="A8" s="41" t="s">
        <v>366</v>
      </c>
      <c r="B8" s="40">
        <v>47.3</v>
      </c>
      <c r="C8" s="40" t="s">
        <v>78</v>
      </c>
      <c r="D8" s="40" t="s">
        <v>80</v>
      </c>
      <c r="E8" s="44" t="s">
        <v>113</v>
      </c>
      <c r="F8" s="30" t="s">
        <v>77</v>
      </c>
      <c r="G8" s="55" t="s">
        <v>69</v>
      </c>
      <c r="H8" s="56"/>
      <c r="I8" s="57"/>
      <c r="J8" s="58"/>
    </row>
    <row r="9" spans="1:10" ht="56.5" customHeight="1" thickBot="1" x14ac:dyDescent="0.3">
      <c r="A9" s="12" t="s">
        <v>8</v>
      </c>
      <c r="B9" s="40">
        <v>56.2</v>
      </c>
      <c r="C9" s="40" t="s">
        <v>78</v>
      </c>
      <c r="D9" s="40" t="s">
        <v>9</v>
      </c>
      <c r="E9" s="36" t="s">
        <v>10</v>
      </c>
      <c r="F9" s="30"/>
      <c r="G9" s="55" t="s">
        <v>69</v>
      </c>
      <c r="H9" s="56"/>
      <c r="I9" s="57"/>
      <c r="J9" s="58"/>
    </row>
    <row r="10" spans="1:10" ht="57.65" customHeight="1" thickBot="1" x14ac:dyDescent="0.3">
      <c r="A10" s="12" t="s">
        <v>8</v>
      </c>
      <c r="B10" s="40">
        <v>2.15E-3</v>
      </c>
      <c r="C10" s="40" t="s">
        <v>272</v>
      </c>
      <c r="D10" s="40" t="s">
        <v>9</v>
      </c>
      <c r="E10" s="36" t="s">
        <v>10</v>
      </c>
      <c r="F10" s="30" t="s">
        <v>11</v>
      </c>
      <c r="G10" s="55" t="s">
        <v>69</v>
      </c>
      <c r="H10" s="56"/>
      <c r="I10" s="57"/>
      <c r="J10" s="58"/>
    </row>
    <row r="11" spans="1:10" ht="41.25" customHeight="1" thickBot="1" x14ac:dyDescent="0.3">
      <c r="A11" s="12" t="s">
        <v>12</v>
      </c>
      <c r="B11" s="40">
        <v>2.2799999999999999E-3</v>
      </c>
      <c r="C11" s="40" t="s">
        <v>274</v>
      </c>
      <c r="D11" s="40" t="s">
        <v>13</v>
      </c>
      <c r="E11" s="36" t="s">
        <v>10</v>
      </c>
      <c r="F11" s="30" t="s">
        <v>46</v>
      </c>
      <c r="G11" s="55" t="s">
        <v>69</v>
      </c>
      <c r="H11" s="56"/>
      <c r="I11" s="57"/>
      <c r="J11" s="58"/>
    </row>
    <row r="12" spans="1:10" ht="41.25" customHeight="1" thickBot="1" x14ac:dyDescent="0.3">
      <c r="A12" s="12" t="s">
        <v>12</v>
      </c>
      <c r="B12" s="40">
        <v>69.3</v>
      </c>
      <c r="C12" s="40" t="s">
        <v>78</v>
      </c>
      <c r="D12" s="40" t="s">
        <v>13</v>
      </c>
      <c r="E12" s="36" t="s">
        <v>10</v>
      </c>
      <c r="F12" s="30" t="s">
        <v>14</v>
      </c>
      <c r="G12" s="55" t="s">
        <v>69</v>
      </c>
      <c r="H12" s="56"/>
      <c r="I12" s="57"/>
      <c r="J12" s="58"/>
    </row>
    <row r="13" spans="1:10" ht="41.25" customHeight="1" thickBot="1" x14ac:dyDescent="0.3">
      <c r="A13" s="12" t="s">
        <v>15</v>
      </c>
      <c r="B13" s="40">
        <v>2.6800000000000001E-3</v>
      </c>
      <c r="C13" s="40" t="s">
        <v>274</v>
      </c>
      <c r="D13" s="40" t="s">
        <v>16</v>
      </c>
      <c r="E13" s="36" t="s">
        <v>17</v>
      </c>
      <c r="F13" s="30" t="s">
        <v>18</v>
      </c>
      <c r="G13" s="55" t="s">
        <v>69</v>
      </c>
      <c r="H13" s="56"/>
      <c r="I13" s="57"/>
      <c r="J13" s="58"/>
    </row>
    <row r="14" spans="1:10" ht="41.25" customHeight="1" thickBot="1" x14ac:dyDescent="0.3">
      <c r="A14" s="12" t="s">
        <v>15</v>
      </c>
      <c r="B14" s="40">
        <v>74.3</v>
      </c>
      <c r="C14" s="40" t="s">
        <v>78</v>
      </c>
      <c r="D14" s="40" t="s">
        <v>16</v>
      </c>
      <c r="E14" s="36" t="s">
        <v>10</v>
      </c>
      <c r="F14" s="30"/>
      <c r="G14" s="55" t="s">
        <v>69</v>
      </c>
      <c r="H14" s="56"/>
      <c r="I14" s="57"/>
      <c r="J14" s="58"/>
    </row>
    <row r="15" spans="1:10" ht="41.25" customHeight="1" thickBot="1" x14ac:dyDescent="0.3">
      <c r="A15" s="12" t="s">
        <v>61</v>
      </c>
      <c r="B15" s="40">
        <v>77.599999999999994</v>
      </c>
      <c r="C15" s="40" t="s">
        <v>78</v>
      </c>
      <c r="D15" s="40" t="s">
        <v>62</v>
      </c>
      <c r="E15" s="36" t="s">
        <v>63</v>
      </c>
      <c r="F15" s="30"/>
      <c r="G15" s="55" t="s">
        <v>69</v>
      </c>
      <c r="H15" s="56"/>
      <c r="I15" s="57"/>
      <c r="J15" s="58"/>
    </row>
    <row r="16" spans="1:10" ht="41.25" customHeight="1" thickBot="1" x14ac:dyDescent="0.3">
      <c r="A16" s="12" t="s">
        <v>61</v>
      </c>
      <c r="B16" s="40">
        <v>3.12</v>
      </c>
      <c r="C16" s="12" t="s">
        <v>275</v>
      </c>
      <c r="D16" s="12" t="s">
        <v>62</v>
      </c>
      <c r="E16" s="36" t="s">
        <v>63</v>
      </c>
      <c r="F16" s="30" t="s">
        <v>65</v>
      </c>
      <c r="G16" s="55" t="s">
        <v>69</v>
      </c>
      <c r="H16" s="56"/>
      <c r="I16" s="57"/>
      <c r="J16" s="58"/>
    </row>
    <row r="17" spans="1:10" ht="17.25" customHeight="1" thickBot="1" x14ac:dyDescent="0.3">
      <c r="A17" s="12"/>
      <c r="B17" s="125">
        <f>1/277778</f>
        <v>3.5999971200023039E-6</v>
      </c>
      <c r="C17" s="12" t="s">
        <v>204</v>
      </c>
      <c r="D17" s="39" t="s">
        <v>367</v>
      </c>
      <c r="E17" s="37" t="s">
        <v>333</v>
      </c>
      <c r="F17" s="30"/>
      <c r="G17" s="55"/>
      <c r="H17" s="56"/>
      <c r="I17" s="57"/>
      <c r="J17" s="58"/>
    </row>
    <row r="18" spans="1:10" ht="17.25" customHeight="1" thickBot="1" x14ac:dyDescent="0.3">
      <c r="A18" s="59" t="s">
        <v>680</v>
      </c>
      <c r="B18" s="53"/>
      <c r="C18" s="53"/>
      <c r="D18" s="53"/>
      <c r="E18" s="60"/>
      <c r="F18" s="61"/>
      <c r="G18" s="52"/>
      <c r="H18" s="52"/>
      <c r="I18" s="53"/>
      <c r="J18" s="54"/>
    </row>
    <row r="19" spans="1:10" ht="17.25" customHeight="1" thickBot="1" x14ac:dyDescent="0.4">
      <c r="A19" s="131" t="s">
        <v>361</v>
      </c>
      <c r="B19" s="40">
        <v>100</v>
      </c>
      <c r="C19" s="12" t="s">
        <v>154</v>
      </c>
      <c r="D19" s="12" t="s">
        <v>160</v>
      </c>
      <c r="E19" s="37" t="s">
        <v>81</v>
      </c>
      <c r="F19" s="30"/>
      <c r="G19" s="55"/>
      <c r="H19" s="56"/>
      <c r="I19" s="57"/>
      <c r="J19" s="58"/>
    </row>
    <row r="20" spans="1:10" ht="17.25" customHeight="1" thickBot="1" x14ac:dyDescent="0.3">
      <c r="A20" s="12" t="s">
        <v>358</v>
      </c>
      <c r="B20" s="40">
        <f>19/100</f>
        <v>0.19</v>
      </c>
      <c r="C20" s="12" t="s">
        <v>201</v>
      </c>
      <c r="D20" s="12" t="s">
        <v>162</v>
      </c>
      <c r="E20" s="37" t="s">
        <v>81</v>
      </c>
      <c r="F20" s="30" t="s">
        <v>271</v>
      </c>
      <c r="G20" s="55"/>
      <c r="H20" s="56"/>
      <c r="I20" s="57"/>
      <c r="J20" s="58"/>
    </row>
    <row r="21" spans="1:10" ht="40.5" customHeight="1" thickBot="1" x14ac:dyDescent="0.3">
      <c r="A21" s="12" t="s">
        <v>357</v>
      </c>
      <c r="B21" s="40">
        <v>3</v>
      </c>
      <c r="C21" s="12" t="s">
        <v>202</v>
      </c>
      <c r="D21" s="12" t="s">
        <v>132</v>
      </c>
      <c r="E21" s="12" t="s">
        <v>273</v>
      </c>
      <c r="F21" s="42" t="s">
        <v>133</v>
      </c>
      <c r="G21" s="55"/>
      <c r="H21" s="56"/>
      <c r="I21" s="57"/>
      <c r="J21" s="58"/>
    </row>
    <row r="22" spans="1:10" ht="17.25" customHeight="1" thickBot="1" x14ac:dyDescent="0.4">
      <c r="A22" s="131" t="s">
        <v>360</v>
      </c>
      <c r="B22" s="40">
        <v>14300</v>
      </c>
      <c r="C22" s="12" t="s">
        <v>203</v>
      </c>
      <c r="D22" s="12" t="s">
        <v>161</v>
      </c>
      <c r="E22" s="37" t="s">
        <v>81</v>
      </c>
      <c r="F22" s="30" t="s">
        <v>271</v>
      </c>
      <c r="G22" s="55"/>
      <c r="H22" s="56"/>
      <c r="I22" s="57"/>
      <c r="J22" s="58"/>
    </row>
    <row r="23" spans="1:10" ht="44.15" customHeight="1" thickBot="1" x14ac:dyDescent="0.3">
      <c r="A23" s="12" t="s">
        <v>893</v>
      </c>
      <c r="B23" s="40">
        <v>80.400000000000006</v>
      </c>
      <c r="C23" s="12" t="s">
        <v>78</v>
      </c>
      <c r="D23" s="12" t="s">
        <v>163</v>
      </c>
      <c r="E23" s="12" t="s">
        <v>81</v>
      </c>
      <c r="F23" s="30" t="s">
        <v>271</v>
      </c>
      <c r="G23" s="55"/>
      <c r="H23" s="56"/>
      <c r="I23" s="57"/>
      <c r="J23" s="58"/>
    </row>
    <row r="24" spans="1:10" ht="17.25" customHeight="1" thickBot="1" x14ac:dyDescent="0.3">
      <c r="A24" s="59" t="s">
        <v>663</v>
      </c>
      <c r="B24" s="53"/>
      <c r="C24" s="53"/>
      <c r="D24" s="53"/>
      <c r="E24" s="60"/>
      <c r="F24" s="61"/>
      <c r="G24" s="52"/>
      <c r="H24" s="52"/>
      <c r="I24" s="53"/>
      <c r="J24" s="54"/>
    </row>
    <row r="25" spans="1:10" ht="18.75" customHeight="1" thickBot="1" x14ac:dyDescent="0.3">
      <c r="A25" s="23" t="s">
        <v>389</v>
      </c>
      <c r="B25" s="126">
        <v>0.115</v>
      </c>
      <c r="C25" s="12" t="s">
        <v>206</v>
      </c>
      <c r="D25" s="39" t="s">
        <v>279</v>
      </c>
      <c r="E25" s="37" t="s">
        <v>588</v>
      </c>
      <c r="F25" s="30"/>
      <c r="G25" s="55"/>
      <c r="H25" s="56"/>
      <c r="I25" s="57"/>
      <c r="J25" s="58"/>
    </row>
    <row r="26" spans="1:10" ht="17.25" customHeight="1" thickBot="1" x14ac:dyDescent="0.3">
      <c r="A26" s="127" t="s">
        <v>434</v>
      </c>
      <c r="B26" s="127">
        <v>0.123</v>
      </c>
      <c r="C26" s="12" t="s">
        <v>206</v>
      </c>
      <c r="D26" s="39" t="s">
        <v>248</v>
      </c>
      <c r="E26" s="37" t="s">
        <v>588</v>
      </c>
      <c r="F26" s="30"/>
      <c r="G26" s="55"/>
      <c r="H26" s="56"/>
      <c r="I26" s="57"/>
      <c r="J26" s="58"/>
    </row>
    <row r="27" spans="1:10" ht="17.25" customHeight="1" thickBot="1" x14ac:dyDescent="0.3">
      <c r="A27" s="23" t="s">
        <v>390</v>
      </c>
      <c r="B27" s="127">
        <v>0</v>
      </c>
      <c r="C27" s="12" t="s">
        <v>206</v>
      </c>
      <c r="D27" s="39" t="s">
        <v>236</v>
      </c>
      <c r="E27" s="37" t="s">
        <v>588</v>
      </c>
      <c r="F27" s="30"/>
      <c r="G27" s="55"/>
      <c r="H27" s="56"/>
      <c r="I27" s="57"/>
      <c r="J27" s="58"/>
    </row>
    <row r="28" spans="1:10" ht="17.25" customHeight="1" thickBot="1" x14ac:dyDescent="0.3">
      <c r="A28" s="23" t="s">
        <v>391</v>
      </c>
      <c r="B28" s="127">
        <v>0.6</v>
      </c>
      <c r="C28" s="12" t="s">
        <v>206</v>
      </c>
      <c r="D28" s="39" t="s">
        <v>237</v>
      </c>
      <c r="E28" s="37" t="s">
        <v>588</v>
      </c>
      <c r="F28" s="30"/>
      <c r="G28" s="55"/>
      <c r="H28" s="56"/>
      <c r="I28" s="57"/>
      <c r="J28" s="58"/>
    </row>
    <row r="29" spans="1:10" ht="17.25" customHeight="1" thickBot="1" x14ac:dyDescent="0.3">
      <c r="A29" s="23" t="s">
        <v>392</v>
      </c>
      <c r="B29" s="127">
        <v>0</v>
      </c>
      <c r="C29" s="12" t="s">
        <v>206</v>
      </c>
      <c r="D29" s="39" t="s">
        <v>238</v>
      </c>
      <c r="E29" s="37" t="s">
        <v>588</v>
      </c>
      <c r="F29" s="30"/>
      <c r="G29" s="55"/>
      <c r="H29" s="56"/>
      <c r="I29" s="57"/>
      <c r="J29" s="58"/>
    </row>
    <row r="30" spans="1:10" ht="17.25" customHeight="1" thickBot="1" x14ac:dyDescent="0.3">
      <c r="A30" s="127" t="s">
        <v>581</v>
      </c>
      <c r="B30" s="127">
        <v>0.22500000000000001</v>
      </c>
      <c r="C30" s="12" t="s">
        <v>206</v>
      </c>
      <c r="D30" s="39" t="s">
        <v>578</v>
      </c>
      <c r="E30" s="37" t="s">
        <v>588</v>
      </c>
      <c r="F30" s="30"/>
      <c r="G30" s="55"/>
      <c r="H30" s="56"/>
      <c r="I30" s="57"/>
      <c r="J30" s="58"/>
    </row>
    <row r="31" spans="1:10" ht="17.25" customHeight="1" thickBot="1" x14ac:dyDescent="0.3">
      <c r="A31" s="127" t="s">
        <v>401</v>
      </c>
      <c r="B31" s="127">
        <v>0</v>
      </c>
      <c r="C31" s="12" t="s">
        <v>206</v>
      </c>
      <c r="D31" s="39" t="s">
        <v>247</v>
      </c>
      <c r="E31" s="37" t="s">
        <v>588</v>
      </c>
      <c r="F31" s="30"/>
      <c r="G31" s="55"/>
      <c r="H31" s="56"/>
      <c r="I31" s="57"/>
      <c r="J31" s="58"/>
    </row>
    <row r="32" spans="1:10" ht="17.25" customHeight="1" thickBot="1" x14ac:dyDescent="0.3">
      <c r="A32" s="127" t="s">
        <v>580</v>
      </c>
      <c r="B32" s="127">
        <v>0</v>
      </c>
      <c r="C32" s="12" t="s">
        <v>206</v>
      </c>
      <c r="D32" s="39" t="s">
        <v>579</v>
      </c>
      <c r="E32" s="37" t="s">
        <v>588</v>
      </c>
      <c r="F32" s="30"/>
      <c r="G32" s="55"/>
      <c r="H32" s="56"/>
      <c r="I32" s="57"/>
      <c r="J32" s="58"/>
    </row>
    <row r="33" spans="1:10" ht="17.25" customHeight="1" thickBot="1" x14ac:dyDescent="0.3">
      <c r="A33" s="23" t="s">
        <v>393</v>
      </c>
      <c r="B33" s="127">
        <v>0</v>
      </c>
      <c r="C33" s="12" t="s">
        <v>206</v>
      </c>
      <c r="D33" s="39" t="s">
        <v>239</v>
      </c>
      <c r="E33" s="37" t="s">
        <v>588</v>
      </c>
      <c r="F33" s="30"/>
      <c r="G33" s="55"/>
      <c r="H33" s="56"/>
      <c r="I33" s="57"/>
      <c r="J33" s="58"/>
    </row>
    <row r="34" spans="1:10" ht="17.25" customHeight="1" thickBot="1" x14ac:dyDescent="0.3">
      <c r="A34" s="23" t="s">
        <v>394</v>
      </c>
      <c r="B34" s="127">
        <v>0</v>
      </c>
      <c r="C34" s="12" t="s">
        <v>206</v>
      </c>
      <c r="D34" s="39" t="s">
        <v>240</v>
      </c>
      <c r="E34" s="37" t="s">
        <v>588</v>
      </c>
      <c r="F34" s="30"/>
      <c r="G34" s="55"/>
      <c r="H34" s="56"/>
      <c r="I34" s="57"/>
      <c r="J34" s="58"/>
    </row>
    <row r="35" spans="1:10" ht="17.25" customHeight="1" thickBot="1" x14ac:dyDescent="0.3">
      <c r="A35" s="127" t="s">
        <v>395</v>
      </c>
      <c r="B35" s="127">
        <v>0.155</v>
      </c>
      <c r="C35" s="12" t="s">
        <v>206</v>
      </c>
      <c r="D35" s="39" t="s">
        <v>241</v>
      </c>
      <c r="E35" s="37" t="s">
        <v>588</v>
      </c>
      <c r="F35" s="30"/>
      <c r="G35" s="55"/>
      <c r="H35" s="56"/>
      <c r="I35" s="57"/>
      <c r="J35" s="58"/>
    </row>
    <row r="36" spans="1:10" ht="17.25" customHeight="1" thickBot="1" x14ac:dyDescent="0.3">
      <c r="A36" s="127" t="s">
        <v>396</v>
      </c>
      <c r="B36" s="127">
        <v>0.14199999999999999</v>
      </c>
      <c r="C36" s="12" t="s">
        <v>206</v>
      </c>
      <c r="D36" s="39" t="s">
        <v>242</v>
      </c>
      <c r="E36" s="37" t="s">
        <v>588</v>
      </c>
      <c r="F36" s="30"/>
      <c r="G36" s="55"/>
      <c r="H36" s="56"/>
      <c r="I36" s="57"/>
      <c r="J36" s="58"/>
    </row>
    <row r="37" spans="1:10" ht="17.25" customHeight="1" thickBot="1" x14ac:dyDescent="0.3">
      <c r="A37" s="127" t="s">
        <v>397</v>
      </c>
      <c r="B37" s="127">
        <v>0.16600000000000001</v>
      </c>
      <c r="C37" s="12" t="s">
        <v>206</v>
      </c>
      <c r="D37" s="39" t="s">
        <v>243</v>
      </c>
      <c r="E37" s="37" t="s">
        <v>588</v>
      </c>
      <c r="F37" s="30"/>
      <c r="G37" s="55"/>
      <c r="H37" s="56"/>
      <c r="I37" s="57"/>
      <c r="J37" s="58"/>
    </row>
    <row r="38" spans="1:10" ht="17.25" customHeight="1" thickBot="1" x14ac:dyDescent="0.3">
      <c r="A38" s="127" t="s">
        <v>398</v>
      </c>
      <c r="B38" s="127">
        <v>0.495</v>
      </c>
      <c r="C38" s="12" t="s">
        <v>206</v>
      </c>
      <c r="D38" s="39" t="s">
        <v>244</v>
      </c>
      <c r="E38" s="37" t="s">
        <v>588</v>
      </c>
      <c r="F38" s="30"/>
      <c r="G38" s="55"/>
      <c r="H38" s="56"/>
      <c r="I38" s="57"/>
      <c r="J38" s="58"/>
    </row>
    <row r="39" spans="1:10" ht="17.25" customHeight="1" thickBot="1" x14ac:dyDescent="0.3">
      <c r="A39" s="127" t="s">
        <v>399</v>
      </c>
      <c r="B39" s="127">
        <v>0.49</v>
      </c>
      <c r="C39" s="12" t="s">
        <v>206</v>
      </c>
      <c r="D39" s="39" t="s">
        <v>245</v>
      </c>
      <c r="E39" s="37" t="s">
        <v>588</v>
      </c>
      <c r="F39" s="30"/>
      <c r="G39" s="55"/>
      <c r="H39" s="56"/>
      <c r="I39" s="57"/>
      <c r="J39" s="58"/>
    </row>
    <row r="40" spans="1:10" ht="17.25" customHeight="1" thickBot="1" x14ac:dyDescent="0.3">
      <c r="A40" s="127" t="s">
        <v>400</v>
      </c>
      <c r="B40" s="127">
        <v>0</v>
      </c>
      <c r="C40" s="12" t="s">
        <v>206</v>
      </c>
      <c r="D40" s="39" t="s">
        <v>246</v>
      </c>
      <c r="E40" s="37" t="s">
        <v>588</v>
      </c>
      <c r="F40" s="30"/>
      <c r="G40" s="55"/>
      <c r="H40" s="56"/>
      <c r="I40" s="57"/>
      <c r="J40" s="58"/>
    </row>
    <row r="41" spans="1:10" ht="17.25" customHeight="1" thickBot="1" x14ac:dyDescent="0.3">
      <c r="A41" s="127" t="s">
        <v>586</v>
      </c>
      <c r="B41" s="127">
        <v>0</v>
      </c>
      <c r="C41" s="12" t="s">
        <v>206</v>
      </c>
      <c r="D41" s="39" t="s">
        <v>582</v>
      </c>
      <c r="E41" s="37" t="s">
        <v>588</v>
      </c>
      <c r="F41" s="30"/>
      <c r="G41" s="55"/>
      <c r="H41" s="56"/>
      <c r="I41" s="57"/>
      <c r="J41" s="58"/>
    </row>
    <row r="42" spans="1:10" ht="17.25" customHeight="1" thickBot="1" x14ac:dyDescent="0.3">
      <c r="A42" s="127" t="s">
        <v>587</v>
      </c>
      <c r="B42" s="127">
        <v>0</v>
      </c>
      <c r="C42" s="12" t="s">
        <v>206</v>
      </c>
      <c r="D42" s="39" t="s">
        <v>583</v>
      </c>
      <c r="E42" s="37" t="s">
        <v>588</v>
      </c>
      <c r="F42" s="30"/>
      <c r="G42" s="55"/>
      <c r="H42" s="56"/>
      <c r="I42" s="57"/>
      <c r="J42" s="58"/>
    </row>
    <row r="43" spans="1:10" ht="17.25" customHeight="1" thickBot="1" x14ac:dyDescent="0.3">
      <c r="A43" s="127" t="s">
        <v>585</v>
      </c>
      <c r="B43" s="127">
        <v>0</v>
      </c>
      <c r="C43" s="12" t="s">
        <v>206</v>
      </c>
      <c r="D43" s="39" t="s">
        <v>584</v>
      </c>
      <c r="E43" s="37" t="s">
        <v>588</v>
      </c>
      <c r="F43" s="30"/>
      <c r="G43" s="55"/>
      <c r="H43" s="56"/>
      <c r="I43" s="57"/>
      <c r="J43" s="58"/>
    </row>
    <row r="44" spans="1:10" ht="17.25" customHeight="1" thickBot="1" x14ac:dyDescent="0.3">
      <c r="A44" s="127" t="s">
        <v>625</v>
      </c>
      <c r="B44" s="127">
        <v>0</v>
      </c>
      <c r="C44" s="12" t="s">
        <v>206</v>
      </c>
      <c r="D44" s="39" t="s">
        <v>626</v>
      </c>
      <c r="E44" s="37" t="s">
        <v>588</v>
      </c>
      <c r="F44" s="30"/>
      <c r="G44" s="55"/>
      <c r="H44" s="56"/>
      <c r="I44" s="57"/>
      <c r="J44" s="58"/>
    </row>
    <row r="45" spans="1:10" ht="17.25" customHeight="1" thickBot="1" x14ac:dyDescent="0.3">
      <c r="A45" s="127" t="s">
        <v>595</v>
      </c>
      <c r="B45" s="127">
        <v>1.03</v>
      </c>
      <c r="C45" s="12" t="s">
        <v>206</v>
      </c>
      <c r="D45" s="39" t="s">
        <v>249</v>
      </c>
      <c r="E45" s="37" t="s">
        <v>588</v>
      </c>
      <c r="F45" s="30"/>
      <c r="G45" s="55"/>
      <c r="H45" s="56"/>
      <c r="I45" s="57"/>
      <c r="J45" s="58"/>
    </row>
    <row r="46" spans="1:10" ht="17.25" customHeight="1" thickBot="1" x14ac:dyDescent="0.3">
      <c r="A46" s="127" t="s">
        <v>403</v>
      </c>
      <c r="B46" s="127">
        <v>1.7</v>
      </c>
      <c r="C46" s="12" t="s">
        <v>206</v>
      </c>
      <c r="D46" s="39" t="s">
        <v>229</v>
      </c>
      <c r="E46" s="37" t="s">
        <v>588</v>
      </c>
      <c r="F46" s="30"/>
      <c r="G46" s="55"/>
      <c r="H46" s="56"/>
      <c r="I46" s="57"/>
      <c r="J46" s="58"/>
    </row>
    <row r="47" spans="1:10" ht="17.25" customHeight="1" thickBot="1" x14ac:dyDescent="0.3">
      <c r="A47" s="127" t="s">
        <v>404</v>
      </c>
      <c r="B47" s="127">
        <v>1.78</v>
      </c>
      <c r="C47" s="12" t="s">
        <v>206</v>
      </c>
      <c r="D47" s="39" t="s">
        <v>230</v>
      </c>
      <c r="E47" s="37" t="s">
        <v>588</v>
      </c>
      <c r="F47" s="30"/>
      <c r="G47" s="55"/>
      <c r="H47" s="56"/>
      <c r="I47" s="57"/>
      <c r="J47" s="58"/>
    </row>
    <row r="48" spans="1:10" ht="17.25" customHeight="1" thickBot="1" x14ac:dyDescent="0.3">
      <c r="A48" s="127" t="s">
        <v>405</v>
      </c>
      <c r="B48" s="127">
        <v>0.91</v>
      </c>
      <c r="C48" s="12" t="s">
        <v>206</v>
      </c>
      <c r="D48" s="39" t="s">
        <v>231</v>
      </c>
      <c r="E48" s="37" t="s">
        <v>588</v>
      </c>
      <c r="F48" s="30"/>
      <c r="G48" s="55"/>
      <c r="H48" s="56"/>
      <c r="I48" s="57"/>
      <c r="J48" s="58"/>
    </row>
    <row r="49" spans="1:10" ht="14" thickBot="1" x14ac:dyDescent="0.3">
      <c r="A49" s="127" t="s">
        <v>406</v>
      </c>
      <c r="B49" s="127">
        <v>0.76</v>
      </c>
      <c r="C49" s="12" t="s">
        <v>206</v>
      </c>
      <c r="D49" s="39" t="s">
        <v>232</v>
      </c>
      <c r="E49" s="37" t="s">
        <v>588</v>
      </c>
      <c r="F49" s="30"/>
      <c r="G49" s="55"/>
      <c r="H49" s="56"/>
      <c r="I49" s="57"/>
      <c r="J49" s="58"/>
    </row>
    <row r="50" spans="1:10" ht="14" thickBot="1" x14ac:dyDescent="0.3">
      <c r="A50" s="127" t="s">
        <v>407</v>
      </c>
      <c r="B50" s="127">
        <v>0.1</v>
      </c>
      <c r="C50" s="12" t="s">
        <v>206</v>
      </c>
      <c r="D50" s="39" t="s">
        <v>233</v>
      </c>
      <c r="E50" s="37" t="s">
        <v>588</v>
      </c>
      <c r="F50" s="30"/>
      <c r="G50" s="55"/>
      <c r="H50" s="56"/>
      <c r="I50" s="57"/>
      <c r="J50" s="58"/>
    </row>
    <row r="51" spans="1:10" ht="14" thickBot="1" x14ac:dyDescent="0.3">
      <c r="A51" s="127" t="s">
        <v>668</v>
      </c>
      <c r="B51" s="127">
        <v>0.19500000000000001</v>
      </c>
      <c r="C51" s="12" t="s">
        <v>206</v>
      </c>
      <c r="D51" s="39" t="s">
        <v>234</v>
      </c>
      <c r="E51" s="37" t="s">
        <v>588</v>
      </c>
      <c r="F51" s="30"/>
      <c r="G51" s="55"/>
      <c r="H51" s="56"/>
      <c r="I51" s="57"/>
      <c r="J51" s="58"/>
    </row>
    <row r="52" spans="1:10" ht="14" thickBot="1" x14ac:dyDescent="0.3">
      <c r="A52" s="127" t="s">
        <v>669</v>
      </c>
      <c r="B52" s="127">
        <v>0.49</v>
      </c>
      <c r="C52" s="12" t="s">
        <v>206</v>
      </c>
      <c r="D52" s="39" t="s">
        <v>235</v>
      </c>
      <c r="E52" s="37" t="s">
        <v>588</v>
      </c>
      <c r="F52" s="30"/>
      <c r="G52" s="55"/>
      <c r="H52" s="56"/>
      <c r="I52" s="57"/>
      <c r="J52" s="58"/>
    </row>
    <row r="53" spans="1:10" ht="17.25" customHeight="1" thickBot="1" x14ac:dyDescent="0.3">
      <c r="A53" s="59" t="s">
        <v>662</v>
      </c>
      <c r="B53" s="53"/>
      <c r="C53" s="53"/>
      <c r="D53" s="53"/>
      <c r="E53" s="60"/>
      <c r="F53" s="61"/>
      <c r="G53" s="52"/>
      <c r="H53" s="52"/>
      <c r="I53" s="53"/>
      <c r="J53" s="54"/>
    </row>
    <row r="54" spans="1:10" ht="63" thickBot="1" x14ac:dyDescent="0.3">
      <c r="A54" s="127" t="s">
        <v>674</v>
      </c>
      <c r="B54" s="40">
        <v>35</v>
      </c>
      <c r="C54" s="12" t="s">
        <v>267</v>
      </c>
      <c r="D54" s="39" t="s">
        <v>167</v>
      </c>
      <c r="E54" s="37" t="s">
        <v>259</v>
      </c>
      <c r="F54" s="30"/>
      <c r="G54" s="55"/>
      <c r="H54" s="56"/>
      <c r="I54" s="57"/>
      <c r="J54" s="58"/>
    </row>
    <row r="55" spans="1:10" ht="44.15" customHeight="1" thickBot="1" x14ac:dyDescent="0.3">
      <c r="A55" s="127" t="s">
        <v>670</v>
      </c>
      <c r="B55" s="40">
        <f>0.061/0.244</f>
        <v>0.25</v>
      </c>
      <c r="C55" s="12" t="s">
        <v>266</v>
      </c>
      <c r="D55" s="39" t="s">
        <v>171</v>
      </c>
      <c r="E55" s="37" t="s">
        <v>268</v>
      </c>
      <c r="F55" s="30"/>
      <c r="G55" s="55"/>
      <c r="H55" s="56"/>
      <c r="I55" s="57"/>
      <c r="J55" s="58"/>
    </row>
    <row r="56" spans="1:10" ht="44.15" customHeight="1" thickBot="1" x14ac:dyDescent="0.3">
      <c r="A56" s="127" t="s">
        <v>678</v>
      </c>
      <c r="B56" s="40">
        <v>1.05</v>
      </c>
      <c r="C56" s="12" t="s">
        <v>205</v>
      </c>
      <c r="D56" s="39" t="s">
        <v>212</v>
      </c>
      <c r="E56" s="37" t="s">
        <v>265</v>
      </c>
      <c r="F56" s="30"/>
      <c r="G56" s="55"/>
      <c r="H56" s="56"/>
      <c r="I56" s="57"/>
      <c r="J56" s="58"/>
    </row>
    <row r="57" spans="1:10" ht="50.5" thickBot="1" x14ac:dyDescent="0.3">
      <c r="A57" s="127" t="s">
        <v>675</v>
      </c>
      <c r="B57" s="40">
        <v>9</v>
      </c>
      <c r="C57" s="12" t="s">
        <v>207</v>
      </c>
      <c r="D57" s="39" t="s">
        <v>169</v>
      </c>
      <c r="E57" s="37" t="s">
        <v>262</v>
      </c>
      <c r="F57" s="30"/>
      <c r="G57" s="55"/>
      <c r="H57" s="56"/>
      <c r="I57" s="57"/>
      <c r="J57" s="58"/>
    </row>
    <row r="58" spans="1:10" ht="50.5" thickBot="1" x14ac:dyDescent="0.3">
      <c r="A58" s="127" t="s">
        <v>676</v>
      </c>
      <c r="B58" s="40">
        <v>8</v>
      </c>
      <c r="C58" s="12" t="s">
        <v>207</v>
      </c>
      <c r="D58" s="39" t="s">
        <v>168</v>
      </c>
      <c r="E58" s="37" t="s">
        <v>263</v>
      </c>
      <c r="F58" s="30"/>
      <c r="G58" s="55"/>
      <c r="H58" s="56"/>
      <c r="I58" s="57"/>
      <c r="J58" s="58"/>
    </row>
    <row r="59" spans="1:10" ht="38" thickBot="1" x14ac:dyDescent="0.3">
      <c r="A59" s="127" t="s">
        <v>677</v>
      </c>
      <c r="B59" s="40">
        <v>12</v>
      </c>
      <c r="C59" s="12" t="s">
        <v>207</v>
      </c>
      <c r="D59" s="39" t="s">
        <v>170</v>
      </c>
      <c r="E59" s="37" t="s">
        <v>260</v>
      </c>
      <c r="F59" s="30"/>
      <c r="G59" s="55"/>
      <c r="H59" s="56"/>
      <c r="I59" s="57"/>
      <c r="J59" s="58"/>
    </row>
    <row r="60" spans="1:10" ht="44.15" customHeight="1" thickBot="1" x14ac:dyDescent="0.3">
      <c r="A60" s="127" t="s">
        <v>671</v>
      </c>
      <c r="B60" s="40">
        <v>0.8</v>
      </c>
      <c r="C60" s="12" t="s">
        <v>199</v>
      </c>
      <c r="D60" s="39" t="s">
        <v>173</v>
      </c>
      <c r="E60" s="37" t="s">
        <v>258</v>
      </c>
      <c r="F60" s="30"/>
      <c r="G60" s="55"/>
      <c r="H60" s="56"/>
      <c r="I60" s="57"/>
      <c r="J60" s="58"/>
    </row>
    <row r="61" spans="1:10" ht="50.5" thickBot="1" x14ac:dyDescent="0.3">
      <c r="A61" s="127" t="s">
        <v>672</v>
      </c>
      <c r="B61" s="40">
        <f>(0.11+0.25)/2</f>
        <v>0.18</v>
      </c>
      <c r="C61" s="12" t="s">
        <v>199</v>
      </c>
      <c r="D61" s="39" t="s">
        <v>172</v>
      </c>
      <c r="E61" s="37" t="s">
        <v>264</v>
      </c>
      <c r="F61" s="30"/>
      <c r="G61" s="55"/>
      <c r="H61" s="56"/>
      <c r="I61" s="57"/>
      <c r="J61" s="58"/>
    </row>
    <row r="62" spans="1:10" ht="44.15" customHeight="1" thickBot="1" x14ac:dyDescent="0.3">
      <c r="A62" s="127" t="s">
        <v>673</v>
      </c>
      <c r="B62" s="40">
        <f>(0.4+1.4)/2</f>
        <v>0.89999999999999991</v>
      </c>
      <c r="C62" s="12" t="s">
        <v>199</v>
      </c>
      <c r="D62" s="39" t="s">
        <v>174</v>
      </c>
      <c r="E62" s="37" t="s">
        <v>261</v>
      </c>
      <c r="F62" s="30"/>
      <c r="G62" s="55"/>
      <c r="H62" s="56"/>
      <c r="I62" s="57"/>
      <c r="J62" s="58"/>
    </row>
    <row r="63" spans="1:10" ht="44.15" customHeight="1" thickBot="1" x14ac:dyDescent="0.3">
      <c r="A63" s="127" t="s">
        <v>667</v>
      </c>
      <c r="B63" s="40">
        <v>5.6</v>
      </c>
      <c r="C63" s="12" t="s">
        <v>199</v>
      </c>
      <c r="D63" s="39" t="s">
        <v>250</v>
      </c>
      <c r="E63" s="37" t="s">
        <v>253</v>
      </c>
      <c r="F63" s="30"/>
      <c r="G63" s="55"/>
      <c r="H63" s="56"/>
      <c r="I63" s="57"/>
      <c r="J63" s="58"/>
    </row>
    <row r="64" spans="1:10" ht="44.15" customHeight="1" thickBot="1" x14ac:dyDescent="0.3">
      <c r="A64" s="127" t="s">
        <v>666</v>
      </c>
      <c r="B64" s="40">
        <v>34</v>
      </c>
      <c r="C64" s="12" t="s">
        <v>199</v>
      </c>
      <c r="D64" s="39" t="s">
        <v>251</v>
      </c>
      <c r="E64" s="20" t="s">
        <v>252</v>
      </c>
      <c r="F64" s="30"/>
      <c r="G64" s="55"/>
      <c r="H64" s="56"/>
      <c r="I64" s="57"/>
      <c r="J64" s="58"/>
    </row>
    <row r="65" spans="1:10" ht="44.15" customHeight="1" thickBot="1" x14ac:dyDescent="0.3">
      <c r="A65" s="127" t="s">
        <v>665</v>
      </c>
      <c r="B65" s="40">
        <f>(8.9+15.7)/2</f>
        <v>12.3</v>
      </c>
      <c r="C65" s="12" t="s">
        <v>199</v>
      </c>
      <c r="D65" s="39" t="s">
        <v>255</v>
      </c>
      <c r="E65" s="37" t="s">
        <v>256</v>
      </c>
      <c r="F65" s="30"/>
      <c r="G65" s="55"/>
      <c r="H65" s="56"/>
      <c r="I65" s="57"/>
      <c r="J65" s="58"/>
    </row>
    <row r="66" spans="1:10" ht="44.15" customHeight="1" thickBot="1" x14ac:dyDescent="0.3">
      <c r="A66" s="127" t="s">
        <v>664</v>
      </c>
      <c r="B66" s="40">
        <f>(4.1+8.8)/2</f>
        <v>6.45</v>
      </c>
      <c r="C66" s="12" t="s">
        <v>199</v>
      </c>
      <c r="D66" s="39" t="s">
        <v>254</v>
      </c>
      <c r="E66" s="37" t="s">
        <v>257</v>
      </c>
      <c r="F66" s="30"/>
      <c r="G66" s="55"/>
      <c r="H66" s="56"/>
      <c r="I66" s="57"/>
      <c r="J66" s="58"/>
    </row>
    <row r="67" spans="1:10" ht="16" thickBot="1" x14ac:dyDescent="0.3">
      <c r="A67" s="127" t="s">
        <v>362</v>
      </c>
      <c r="B67" s="40">
        <v>6</v>
      </c>
      <c r="C67" s="12" t="s">
        <v>200</v>
      </c>
      <c r="D67" s="39" t="s">
        <v>270</v>
      </c>
      <c r="E67" s="37" t="s">
        <v>269</v>
      </c>
      <c r="F67" s="30"/>
      <c r="G67" s="55"/>
      <c r="H67" s="56"/>
      <c r="I67" s="57"/>
      <c r="J67" s="58"/>
    </row>
    <row r="68" spans="1:10" ht="25.5" thickBot="1" x14ac:dyDescent="0.3">
      <c r="A68" s="127" t="s">
        <v>359</v>
      </c>
      <c r="B68" s="40">
        <v>0</v>
      </c>
      <c r="C68" s="12" t="s">
        <v>200</v>
      </c>
      <c r="D68" s="39" t="s">
        <v>763</v>
      </c>
      <c r="E68" s="37" t="s">
        <v>774</v>
      </c>
      <c r="F68" s="30"/>
      <c r="G68" s="55"/>
      <c r="H68" s="56"/>
      <c r="I68" s="57"/>
      <c r="J68" s="58"/>
    </row>
    <row r="69" spans="1:10" ht="17.25" customHeight="1" thickBot="1" x14ac:dyDescent="0.3">
      <c r="A69" s="59" t="s">
        <v>661</v>
      </c>
      <c r="B69" s="53"/>
      <c r="C69" s="53"/>
      <c r="D69" s="53"/>
      <c r="E69" s="60"/>
      <c r="F69" s="61"/>
      <c r="G69" s="52"/>
      <c r="H69" s="52"/>
      <c r="I69" s="53"/>
      <c r="J69" s="54"/>
    </row>
    <row r="70" spans="1:10" ht="17.25" customHeight="1" thickBot="1" x14ac:dyDescent="0.3">
      <c r="A70" s="127" t="s">
        <v>422</v>
      </c>
      <c r="B70" s="132">
        <v>15.8</v>
      </c>
      <c r="C70" s="12" t="s">
        <v>199</v>
      </c>
      <c r="D70" s="39" t="s">
        <v>283</v>
      </c>
      <c r="E70" s="37" t="s">
        <v>223</v>
      </c>
      <c r="F70" s="30"/>
      <c r="G70" s="55"/>
      <c r="H70" s="56"/>
      <c r="I70" s="57"/>
      <c r="J70" s="58"/>
    </row>
    <row r="71" spans="1:10" ht="17.25" customHeight="1" thickBot="1" x14ac:dyDescent="0.3">
      <c r="A71" s="127" t="s">
        <v>557</v>
      </c>
      <c r="B71" s="132">
        <f>B92</f>
        <v>1.33</v>
      </c>
      <c r="C71" s="12" t="s">
        <v>199</v>
      </c>
      <c r="D71" s="39" t="s">
        <v>296</v>
      </c>
      <c r="E71" s="37" t="s">
        <v>228</v>
      </c>
      <c r="F71" s="30"/>
      <c r="G71" s="55"/>
      <c r="H71" s="56"/>
      <c r="I71" s="57"/>
      <c r="J71" s="58"/>
    </row>
    <row r="72" spans="1:10" ht="17.25" customHeight="1" thickBot="1" x14ac:dyDescent="0.3">
      <c r="A72" s="127" t="s">
        <v>423</v>
      </c>
      <c r="B72" s="132">
        <f>B93</f>
        <v>1.5304347826086957</v>
      </c>
      <c r="C72" s="12" t="s">
        <v>199</v>
      </c>
      <c r="D72" s="39" t="s">
        <v>284</v>
      </c>
      <c r="E72" s="37" t="s">
        <v>228</v>
      </c>
      <c r="F72" s="30"/>
      <c r="G72" s="55"/>
      <c r="H72" s="56"/>
      <c r="I72" s="57"/>
      <c r="J72" s="58"/>
    </row>
    <row r="73" spans="1:10" ht="17.25" customHeight="1" thickBot="1" x14ac:dyDescent="0.3">
      <c r="A73" s="127" t="s">
        <v>424</v>
      </c>
      <c r="B73" s="132">
        <v>2.5</v>
      </c>
      <c r="C73" s="12" t="s">
        <v>199</v>
      </c>
      <c r="D73" s="39" t="s">
        <v>285</v>
      </c>
      <c r="E73" s="20" t="s">
        <v>224</v>
      </c>
      <c r="F73" s="30"/>
      <c r="G73" s="55"/>
      <c r="H73" s="56"/>
      <c r="I73" s="57"/>
      <c r="J73" s="58"/>
    </row>
    <row r="74" spans="1:10" ht="17.25" customHeight="1" thickBot="1" x14ac:dyDescent="0.3">
      <c r="A74" s="127" t="s">
        <v>425</v>
      </c>
      <c r="B74" s="132">
        <f>B95</f>
        <v>30.8</v>
      </c>
      <c r="C74" s="12" t="s">
        <v>199</v>
      </c>
      <c r="D74" s="39" t="s">
        <v>286</v>
      </c>
      <c r="E74" s="37" t="s">
        <v>228</v>
      </c>
      <c r="F74" s="30"/>
      <c r="G74" s="55"/>
      <c r="H74" s="56"/>
      <c r="I74" s="57"/>
      <c r="J74" s="58"/>
    </row>
    <row r="75" spans="1:10" ht="17.25" customHeight="1" thickBot="1" x14ac:dyDescent="0.3">
      <c r="A75" s="127" t="s">
        <v>559</v>
      </c>
      <c r="B75" s="132">
        <f t="shared" ref="B75" si="0">B96</f>
        <v>2.1800000000000002</v>
      </c>
      <c r="C75" s="12" t="s">
        <v>199</v>
      </c>
      <c r="D75" s="39" t="s">
        <v>562</v>
      </c>
      <c r="E75" s="37" t="s">
        <v>228</v>
      </c>
      <c r="F75" s="30"/>
      <c r="G75" s="55"/>
      <c r="H75" s="56"/>
      <c r="I75" s="57"/>
      <c r="J75" s="58"/>
    </row>
    <row r="76" spans="1:10" ht="17.25" customHeight="1" thickBot="1" x14ac:dyDescent="0.3">
      <c r="A76" s="127" t="s">
        <v>611</v>
      </c>
      <c r="B76" s="132">
        <f>B97</f>
        <v>0</v>
      </c>
      <c r="C76" s="12" t="s">
        <v>199</v>
      </c>
      <c r="D76" s="39" t="s">
        <v>295</v>
      </c>
      <c r="E76" s="37" t="s">
        <v>228</v>
      </c>
      <c r="F76" s="30"/>
      <c r="G76" s="55"/>
      <c r="H76" s="56"/>
      <c r="I76" s="57"/>
      <c r="J76" s="58"/>
    </row>
    <row r="77" spans="1:10" ht="17.25" customHeight="1" thickBot="1" x14ac:dyDescent="0.3">
      <c r="A77" s="127" t="s">
        <v>560</v>
      </c>
      <c r="B77" s="132">
        <f t="shared" ref="B77" si="1">B98</f>
        <v>0</v>
      </c>
      <c r="C77" s="12" t="s">
        <v>199</v>
      </c>
      <c r="D77" s="39" t="s">
        <v>561</v>
      </c>
      <c r="E77" s="37" t="s">
        <v>228</v>
      </c>
      <c r="F77" s="30"/>
      <c r="G77" s="55"/>
      <c r="H77" s="56"/>
      <c r="I77" s="57"/>
      <c r="J77" s="58"/>
    </row>
    <row r="78" spans="1:10" ht="17.25" customHeight="1" thickBot="1" x14ac:dyDescent="0.3">
      <c r="A78" s="127" t="s">
        <v>427</v>
      </c>
      <c r="B78" s="132">
        <f>B99</f>
        <v>93</v>
      </c>
      <c r="C78" s="12" t="s">
        <v>199</v>
      </c>
      <c r="D78" s="39" t="s">
        <v>287</v>
      </c>
      <c r="E78" s="37" t="s">
        <v>228</v>
      </c>
      <c r="F78" s="30"/>
      <c r="G78" s="55"/>
      <c r="H78" s="56"/>
      <c r="I78" s="57"/>
      <c r="J78" s="58"/>
    </row>
    <row r="79" spans="1:10" ht="17.25" customHeight="1" thickBot="1" x14ac:dyDescent="0.3">
      <c r="A79" s="127" t="s">
        <v>426</v>
      </c>
      <c r="B79" s="132">
        <f t="shared" ref="B79" si="2">B100</f>
        <v>3.7829005789791497</v>
      </c>
      <c r="C79" s="12" t="s">
        <v>199</v>
      </c>
      <c r="D79" s="39" t="s">
        <v>288</v>
      </c>
      <c r="E79" s="37" t="s">
        <v>228</v>
      </c>
      <c r="F79" s="30"/>
      <c r="G79" s="55"/>
      <c r="H79" s="56"/>
      <c r="I79" s="57"/>
      <c r="J79" s="58"/>
    </row>
    <row r="80" spans="1:10" ht="17.25" customHeight="1" thickBot="1" x14ac:dyDescent="0.3">
      <c r="A80" s="127" t="s">
        <v>428</v>
      </c>
      <c r="B80" s="132">
        <v>8.1</v>
      </c>
      <c r="C80" s="12" t="s">
        <v>199</v>
      </c>
      <c r="D80" s="39" t="s">
        <v>289</v>
      </c>
      <c r="E80" s="37" t="s">
        <v>223</v>
      </c>
      <c r="F80" s="30"/>
      <c r="G80" s="55"/>
      <c r="H80" s="56"/>
      <c r="I80" s="57"/>
      <c r="J80" s="58"/>
    </row>
    <row r="81" spans="1:10" ht="17.25" customHeight="1" thickBot="1" x14ac:dyDescent="0.3">
      <c r="A81" s="127" t="s">
        <v>429</v>
      </c>
      <c r="B81" s="132">
        <f>B102</f>
        <v>0.23599999999999999</v>
      </c>
      <c r="C81" s="12" t="s">
        <v>199</v>
      </c>
      <c r="D81" s="39" t="s">
        <v>290</v>
      </c>
      <c r="E81" s="37" t="s">
        <v>228</v>
      </c>
      <c r="F81" s="30"/>
      <c r="G81" s="55"/>
      <c r="H81" s="56"/>
      <c r="I81" s="57"/>
      <c r="J81" s="58"/>
    </row>
    <row r="82" spans="1:10" ht="17.25" customHeight="1" thickBot="1" x14ac:dyDescent="0.3">
      <c r="A82" s="127" t="s">
        <v>430</v>
      </c>
      <c r="B82" s="132">
        <v>7.8</v>
      </c>
      <c r="C82" s="12" t="s">
        <v>199</v>
      </c>
      <c r="D82" s="39" t="s">
        <v>291</v>
      </c>
      <c r="E82" s="37" t="s">
        <v>223</v>
      </c>
      <c r="F82" s="30"/>
      <c r="G82" s="55"/>
      <c r="H82" s="56"/>
      <c r="I82" s="57"/>
      <c r="J82" s="58"/>
    </row>
    <row r="83" spans="1:10" ht="17.25" customHeight="1" thickBot="1" x14ac:dyDescent="0.3">
      <c r="A83" s="127" t="s">
        <v>431</v>
      </c>
      <c r="B83" s="132">
        <v>7.8</v>
      </c>
      <c r="C83" s="12" t="s">
        <v>199</v>
      </c>
      <c r="D83" s="39" t="s">
        <v>292</v>
      </c>
      <c r="E83" s="37" t="s">
        <v>223</v>
      </c>
      <c r="F83" s="30"/>
      <c r="G83" s="55"/>
      <c r="H83" s="56"/>
      <c r="I83" s="57"/>
      <c r="J83" s="58"/>
    </row>
    <row r="84" spans="1:10" ht="17.25" customHeight="1" thickBot="1" x14ac:dyDescent="0.3">
      <c r="A84" s="127" t="s">
        <v>432</v>
      </c>
      <c r="B84" s="132">
        <v>1.7</v>
      </c>
      <c r="C84" s="12" t="s">
        <v>199</v>
      </c>
      <c r="D84" s="39" t="s">
        <v>293</v>
      </c>
      <c r="E84" s="37" t="s">
        <v>226</v>
      </c>
      <c r="F84" s="30"/>
      <c r="G84" s="55"/>
      <c r="H84" s="56"/>
      <c r="I84" s="57"/>
      <c r="J84" s="58"/>
    </row>
    <row r="85" spans="1:10" ht="17.25" customHeight="1" thickBot="1" x14ac:dyDescent="0.3">
      <c r="A85" s="127" t="s">
        <v>433</v>
      </c>
      <c r="B85" s="132">
        <v>3.8E-3</v>
      </c>
      <c r="C85" s="12" t="s">
        <v>199</v>
      </c>
      <c r="D85" s="39" t="s">
        <v>294</v>
      </c>
      <c r="E85" s="37" t="s">
        <v>225</v>
      </c>
      <c r="F85" s="30"/>
      <c r="G85" s="55"/>
      <c r="H85" s="56"/>
      <c r="I85" s="57"/>
      <c r="J85" s="58"/>
    </row>
    <row r="86" spans="1:10" ht="17.25" customHeight="1" thickBot="1" x14ac:dyDescent="0.3">
      <c r="A86" s="127" t="s">
        <v>566</v>
      </c>
      <c r="B86" s="132">
        <v>151</v>
      </c>
      <c r="C86" s="12" t="s">
        <v>199</v>
      </c>
      <c r="D86" s="39" t="s">
        <v>563</v>
      </c>
      <c r="E86" s="20" t="s">
        <v>605</v>
      </c>
      <c r="F86" s="30"/>
      <c r="G86" s="55"/>
      <c r="H86" s="56"/>
      <c r="I86" s="57"/>
      <c r="J86" s="58"/>
    </row>
    <row r="87" spans="1:10" ht="17.25" customHeight="1" thickBot="1" x14ac:dyDescent="0.3">
      <c r="A87" s="127" t="s">
        <v>567</v>
      </c>
      <c r="B87" s="132">
        <f t="shared" ref="B87:B88" si="3">B108</f>
        <v>26.18</v>
      </c>
      <c r="C87" s="12" t="s">
        <v>199</v>
      </c>
      <c r="D87" s="39" t="s">
        <v>564</v>
      </c>
      <c r="E87" s="37" t="s">
        <v>228</v>
      </c>
      <c r="F87" s="30"/>
      <c r="G87" s="55"/>
      <c r="H87" s="56"/>
      <c r="I87" s="57"/>
      <c r="J87" s="58"/>
    </row>
    <row r="88" spans="1:10" ht="17.25" customHeight="1" thickBot="1" x14ac:dyDescent="0.3">
      <c r="A88" s="127" t="s">
        <v>568</v>
      </c>
      <c r="B88" s="132">
        <f t="shared" si="3"/>
        <v>31.14</v>
      </c>
      <c r="C88" s="12" t="s">
        <v>199</v>
      </c>
      <c r="D88" s="39" t="s">
        <v>565</v>
      </c>
      <c r="E88" s="37" t="s">
        <v>228</v>
      </c>
      <c r="F88" s="30"/>
      <c r="G88" s="55"/>
      <c r="H88" s="56"/>
      <c r="I88" s="57"/>
      <c r="J88" s="58"/>
    </row>
    <row r="89" spans="1:10" ht="17.25" customHeight="1" thickBot="1" x14ac:dyDescent="0.3">
      <c r="A89" s="127" t="s">
        <v>623</v>
      </c>
      <c r="B89" s="132">
        <v>0.38</v>
      </c>
      <c r="C89" s="12" t="s">
        <v>199</v>
      </c>
      <c r="D89" s="39" t="s">
        <v>624</v>
      </c>
      <c r="E89" s="37" t="s">
        <v>632</v>
      </c>
      <c r="F89" s="30"/>
      <c r="G89" s="55"/>
      <c r="H89" s="56"/>
      <c r="I89" s="57"/>
      <c r="J89" s="58"/>
    </row>
    <row r="90" spans="1:10" ht="17.25" customHeight="1" thickBot="1" x14ac:dyDescent="0.3">
      <c r="A90" s="127" t="s">
        <v>554</v>
      </c>
      <c r="B90" s="132">
        <f>B111</f>
        <v>4.9000000000000004</v>
      </c>
      <c r="C90" s="12" t="s">
        <v>199</v>
      </c>
      <c r="D90" s="39" t="s">
        <v>553</v>
      </c>
      <c r="E90" s="37" t="s">
        <v>228</v>
      </c>
      <c r="F90" s="30"/>
      <c r="G90" s="55"/>
      <c r="H90" s="56"/>
      <c r="I90" s="57"/>
      <c r="J90" s="58"/>
    </row>
    <row r="91" spans="1:10" ht="17.25" customHeight="1" thickBot="1" x14ac:dyDescent="0.3">
      <c r="A91" s="127" t="s">
        <v>410</v>
      </c>
      <c r="B91" s="132">
        <v>31.95</v>
      </c>
      <c r="C91" s="12" t="s">
        <v>199</v>
      </c>
      <c r="D91" s="39" t="s">
        <v>297</v>
      </c>
      <c r="E91" s="20" t="s">
        <v>610</v>
      </c>
      <c r="F91" s="30"/>
      <c r="G91" s="55"/>
      <c r="H91" s="56"/>
      <c r="I91" s="57"/>
      <c r="J91" s="58"/>
    </row>
    <row r="92" spans="1:10" ht="17.25" customHeight="1" thickBot="1" x14ac:dyDescent="0.3">
      <c r="A92" s="127" t="s">
        <v>558</v>
      </c>
      <c r="B92" s="133">
        <v>1.33</v>
      </c>
      <c r="C92" s="12" t="s">
        <v>199</v>
      </c>
      <c r="D92" s="12" t="s">
        <v>310</v>
      </c>
      <c r="E92" s="37" t="s">
        <v>609</v>
      </c>
      <c r="F92" s="30"/>
      <c r="G92" s="55"/>
      <c r="H92" s="56"/>
      <c r="I92" s="57"/>
      <c r="J92" s="58"/>
    </row>
    <row r="93" spans="1:10" ht="17.25" customHeight="1" thickBot="1" x14ac:dyDescent="0.3">
      <c r="A93" s="127" t="s">
        <v>411</v>
      </c>
      <c r="B93" s="132">
        <f>0.88/0.575</f>
        <v>1.5304347826086957</v>
      </c>
      <c r="C93" s="12" t="s">
        <v>199</v>
      </c>
      <c r="D93" s="39" t="s">
        <v>298</v>
      </c>
      <c r="E93" s="37" t="s">
        <v>213</v>
      </c>
      <c r="F93" s="30"/>
      <c r="G93" s="55"/>
      <c r="H93" s="56"/>
      <c r="I93" s="57"/>
      <c r="J93" s="58"/>
    </row>
    <row r="94" spans="1:10" ht="17.25" customHeight="1" thickBot="1" x14ac:dyDescent="0.3">
      <c r="A94" s="127" t="s">
        <v>412</v>
      </c>
      <c r="B94" s="132">
        <f>4.9+6.72</f>
        <v>11.620000000000001</v>
      </c>
      <c r="C94" s="12" t="s">
        <v>199</v>
      </c>
      <c r="D94" s="39" t="s">
        <v>299</v>
      </c>
      <c r="E94" s="20" t="s">
        <v>214</v>
      </c>
      <c r="F94" s="30"/>
      <c r="G94" s="55"/>
      <c r="H94" s="56"/>
      <c r="I94" s="57"/>
      <c r="J94" s="58"/>
    </row>
    <row r="95" spans="1:10" ht="17.25" customHeight="1" thickBot="1" x14ac:dyDescent="0.3">
      <c r="A95" s="127" t="s">
        <v>413</v>
      </c>
      <c r="B95" s="132">
        <v>30.8</v>
      </c>
      <c r="C95" s="12" t="s">
        <v>199</v>
      </c>
      <c r="D95" s="39" t="s">
        <v>300</v>
      </c>
      <c r="E95" s="37" t="s">
        <v>215</v>
      </c>
      <c r="F95" s="30"/>
      <c r="G95" s="55"/>
      <c r="H95" s="56"/>
      <c r="I95" s="57"/>
      <c r="J95" s="58"/>
    </row>
    <row r="96" spans="1:10" ht="17.25" customHeight="1" thickBot="1" x14ac:dyDescent="0.3">
      <c r="A96" s="127" t="s">
        <v>606</v>
      </c>
      <c r="B96" s="132">
        <v>2.1800000000000002</v>
      </c>
      <c r="C96" s="12" t="s">
        <v>199</v>
      </c>
      <c r="D96" s="39" t="s">
        <v>569</v>
      </c>
      <c r="E96" s="37" t="s">
        <v>608</v>
      </c>
      <c r="F96" s="30"/>
      <c r="G96" s="55"/>
      <c r="H96" s="56"/>
      <c r="I96" s="57"/>
      <c r="J96" s="58"/>
    </row>
    <row r="97" spans="1:10" ht="17.25" customHeight="1" thickBot="1" x14ac:dyDescent="0.3">
      <c r="A97" s="127" t="s">
        <v>571</v>
      </c>
      <c r="B97" s="132">
        <v>0</v>
      </c>
      <c r="C97" s="12" t="s">
        <v>199</v>
      </c>
      <c r="D97" s="39" t="s">
        <v>309</v>
      </c>
      <c r="E97" s="37" t="s">
        <v>227</v>
      </c>
      <c r="F97" s="30"/>
      <c r="G97" s="55"/>
      <c r="H97" s="56"/>
      <c r="I97" s="57"/>
      <c r="J97" s="58"/>
    </row>
    <row r="98" spans="1:10" ht="17.25" customHeight="1" thickBot="1" x14ac:dyDescent="0.3">
      <c r="A98" s="127" t="s">
        <v>607</v>
      </c>
      <c r="B98" s="132">
        <v>0</v>
      </c>
      <c r="C98" s="12" t="s">
        <v>199</v>
      </c>
      <c r="D98" s="39" t="s">
        <v>570</v>
      </c>
      <c r="E98" s="37" t="s">
        <v>227</v>
      </c>
      <c r="F98" s="30"/>
      <c r="G98" s="55"/>
      <c r="H98" s="56"/>
      <c r="I98" s="57"/>
      <c r="J98" s="58"/>
    </row>
    <row r="99" spans="1:10" ht="17.25" customHeight="1" thickBot="1" x14ac:dyDescent="0.3">
      <c r="A99" s="127" t="s">
        <v>414</v>
      </c>
      <c r="B99" s="132">
        <f>44+49</f>
        <v>93</v>
      </c>
      <c r="C99" s="12" t="s">
        <v>199</v>
      </c>
      <c r="D99" s="39" t="s">
        <v>301</v>
      </c>
      <c r="E99" s="37" t="s">
        <v>216</v>
      </c>
      <c r="F99" s="30"/>
      <c r="G99" s="55"/>
      <c r="H99" s="56"/>
      <c r="I99" s="57"/>
      <c r="J99" s="58"/>
    </row>
    <row r="100" spans="1:10" ht="17.25" customHeight="1" thickBot="1" x14ac:dyDescent="0.3">
      <c r="A100" s="127" t="s">
        <v>415</v>
      </c>
      <c r="B100" s="132">
        <f>2.13/0.599/0.94</f>
        <v>3.7829005789791497</v>
      </c>
      <c r="C100" s="12" t="s">
        <v>199</v>
      </c>
      <c r="D100" s="39" t="s">
        <v>302</v>
      </c>
      <c r="E100" s="37" t="s">
        <v>217</v>
      </c>
      <c r="F100" s="30"/>
      <c r="G100" s="55"/>
      <c r="H100" s="56"/>
      <c r="I100" s="57"/>
      <c r="J100" s="58"/>
    </row>
    <row r="101" spans="1:10" ht="17.25" customHeight="1" thickBot="1" x14ac:dyDescent="0.3">
      <c r="A101" s="127" t="s">
        <v>416</v>
      </c>
      <c r="B101" s="132">
        <v>6.2</v>
      </c>
      <c r="C101" s="12" t="s">
        <v>199</v>
      </c>
      <c r="D101" s="39" t="s">
        <v>303</v>
      </c>
      <c r="E101" s="37" t="s">
        <v>218</v>
      </c>
      <c r="F101" s="30"/>
      <c r="G101" s="55"/>
      <c r="H101" s="56"/>
      <c r="I101" s="57"/>
      <c r="J101" s="58"/>
    </row>
    <row r="102" spans="1:10" ht="17.25" customHeight="1" thickBot="1" x14ac:dyDescent="0.3">
      <c r="A102" s="127" t="s">
        <v>417</v>
      </c>
      <c r="B102" s="132">
        <v>0.23599999999999999</v>
      </c>
      <c r="C102" s="12" t="s">
        <v>199</v>
      </c>
      <c r="D102" s="39" t="s">
        <v>304</v>
      </c>
      <c r="E102" s="37" t="s">
        <v>219</v>
      </c>
      <c r="F102" s="30"/>
      <c r="G102" s="55"/>
      <c r="H102" s="56"/>
      <c r="I102" s="57"/>
      <c r="J102" s="58"/>
    </row>
    <row r="103" spans="1:10" ht="17.25" customHeight="1" thickBot="1" x14ac:dyDescent="0.3">
      <c r="A103" s="127" t="s">
        <v>418</v>
      </c>
      <c r="B103" s="132">
        <f>7/0.38</f>
        <v>18.421052631578949</v>
      </c>
      <c r="C103" s="12" t="s">
        <v>199</v>
      </c>
      <c r="D103" s="39" t="s">
        <v>305</v>
      </c>
      <c r="E103" s="20" t="s">
        <v>681</v>
      </c>
      <c r="F103" s="30"/>
      <c r="G103" s="55"/>
      <c r="H103" s="56"/>
      <c r="I103" s="57"/>
      <c r="J103" s="58"/>
    </row>
    <row r="104" spans="1:10" ht="17.25" customHeight="1" thickBot="1" x14ac:dyDescent="0.3">
      <c r="A104" s="127" t="s">
        <v>419</v>
      </c>
      <c r="B104" s="132">
        <f>5.5/0.37</f>
        <v>14.864864864864865</v>
      </c>
      <c r="C104" s="12" t="s">
        <v>199</v>
      </c>
      <c r="D104" s="39" t="s">
        <v>306</v>
      </c>
      <c r="E104" s="20" t="s">
        <v>681</v>
      </c>
      <c r="F104" s="30"/>
      <c r="G104" s="55"/>
      <c r="H104" s="56"/>
      <c r="I104" s="57"/>
      <c r="J104" s="58"/>
    </row>
    <row r="105" spans="1:10" ht="17.25" customHeight="1" thickBot="1" x14ac:dyDescent="0.3">
      <c r="A105" s="127" t="s">
        <v>420</v>
      </c>
      <c r="B105" s="132">
        <f>6.9+8.5</f>
        <v>15.4</v>
      </c>
      <c r="C105" s="12" t="s">
        <v>199</v>
      </c>
      <c r="D105" s="39" t="s">
        <v>307</v>
      </c>
      <c r="E105" s="37" t="s">
        <v>220</v>
      </c>
      <c r="F105" s="30"/>
      <c r="G105" s="55"/>
      <c r="H105" s="56"/>
      <c r="I105" s="57"/>
      <c r="J105" s="58"/>
    </row>
    <row r="106" spans="1:10" ht="17.25" customHeight="1" thickBot="1" x14ac:dyDescent="0.3">
      <c r="A106" s="127" t="s">
        <v>421</v>
      </c>
      <c r="B106" s="132">
        <v>2.5</v>
      </c>
      <c r="C106" s="12" t="s">
        <v>199</v>
      </c>
      <c r="D106" s="39" t="s">
        <v>308</v>
      </c>
      <c r="E106" s="37" t="s">
        <v>221</v>
      </c>
      <c r="F106" s="30"/>
      <c r="G106" s="55"/>
      <c r="H106" s="56"/>
      <c r="I106" s="57"/>
      <c r="J106" s="58"/>
    </row>
    <row r="107" spans="1:10" ht="17.25" customHeight="1" thickBot="1" x14ac:dyDescent="0.3">
      <c r="A107" s="127" t="s">
        <v>575</v>
      </c>
      <c r="B107" s="132">
        <v>698</v>
      </c>
      <c r="C107" s="12" t="s">
        <v>199</v>
      </c>
      <c r="D107" s="39" t="s">
        <v>572</v>
      </c>
      <c r="E107" s="20" t="s">
        <v>604</v>
      </c>
      <c r="F107" s="30"/>
      <c r="G107" s="55"/>
      <c r="H107" s="56"/>
      <c r="I107" s="57"/>
      <c r="J107" s="58"/>
    </row>
    <row r="108" spans="1:10" ht="17.25" customHeight="1" thickBot="1" x14ac:dyDescent="0.3">
      <c r="A108" s="127" t="s">
        <v>576</v>
      </c>
      <c r="B108" s="132">
        <v>26.18</v>
      </c>
      <c r="C108" s="12" t="s">
        <v>199</v>
      </c>
      <c r="D108" s="39" t="s">
        <v>573</v>
      </c>
      <c r="E108" s="37" t="s">
        <v>602</v>
      </c>
      <c r="F108" s="30"/>
      <c r="G108" s="55"/>
      <c r="H108" s="56"/>
      <c r="I108" s="57"/>
      <c r="J108" s="58"/>
    </row>
    <row r="109" spans="1:10" ht="17.25" customHeight="1" thickBot="1" x14ac:dyDescent="0.3">
      <c r="A109" s="127" t="s">
        <v>577</v>
      </c>
      <c r="B109" s="132">
        <v>31.14</v>
      </c>
      <c r="C109" s="12" t="s">
        <v>199</v>
      </c>
      <c r="D109" s="39" t="s">
        <v>574</v>
      </c>
      <c r="E109" s="37" t="s">
        <v>603</v>
      </c>
      <c r="F109" s="30"/>
      <c r="G109" s="55"/>
      <c r="H109" s="56"/>
      <c r="I109" s="57"/>
      <c r="J109" s="58"/>
    </row>
    <row r="110" spans="1:10" ht="17.25" customHeight="1" thickBot="1" x14ac:dyDescent="0.3">
      <c r="A110" s="127" t="s">
        <v>622</v>
      </c>
      <c r="B110" s="132">
        <v>3.08</v>
      </c>
      <c r="C110" s="12" t="s">
        <v>199</v>
      </c>
      <c r="D110" s="39" t="s">
        <v>621</v>
      </c>
      <c r="E110" s="37" t="s">
        <v>631</v>
      </c>
      <c r="F110" s="30"/>
      <c r="G110" s="55"/>
      <c r="H110" s="56"/>
      <c r="I110" s="57"/>
      <c r="J110" s="58"/>
    </row>
    <row r="111" spans="1:10" ht="17.25" customHeight="1" thickBot="1" x14ac:dyDescent="0.3">
      <c r="A111" s="12" t="s">
        <v>556</v>
      </c>
      <c r="B111" s="133">
        <v>4.9000000000000004</v>
      </c>
      <c r="C111" s="12" t="s">
        <v>199</v>
      </c>
      <c r="D111" s="12" t="s">
        <v>555</v>
      </c>
      <c r="E111" s="37" t="s">
        <v>222</v>
      </c>
      <c r="F111" s="30"/>
      <c r="G111" s="55"/>
      <c r="H111" s="56"/>
      <c r="I111" s="57"/>
      <c r="J111" s="58"/>
    </row>
  </sheetData>
  <mergeCells count="1">
    <mergeCell ref="G1:J1"/>
  </mergeCells>
  <phoneticPr fontId="35" type="noConversion"/>
  <hyperlinks>
    <hyperlink ref="E13" r:id="rId1" display="https://www.ipcc-nggip.iges.or.jp/public/2006gl/vol2.html" xr:uid="{00000000-0004-0000-0500-000000000000}"/>
    <hyperlink ref="E7" r:id="rId2" xr:uid="{00000000-0004-0000-0500-000001000000}"/>
    <hyperlink ref="E8" r:id="rId3" xr:uid="{00000000-0004-0000-0500-000002000000}"/>
    <hyperlink ref="E9:E12" r:id="rId4" display="COMMISSION DELEGATED REGULATION (EU) 2018/2066 of 19 December 2018, annex VI" xr:uid="{00000000-0004-0000-0500-000003000000}"/>
    <hyperlink ref="E14" r:id="rId5" xr:uid="{00000000-0004-0000-0500-000004000000}"/>
    <hyperlink ref="E5" r:id="rId6" xr:uid="{E105C9FF-82F5-48FC-91D4-19A86FC4BE69}"/>
  </hyperlinks>
  <pageMargins left="0.7" right="0.7" top="0.75" bottom="0.75" header="0.3" footer="0.3"/>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H45"/>
  <sheetViews>
    <sheetView topLeftCell="A20" zoomScaleNormal="100" workbookViewId="0">
      <selection activeCell="C11" sqref="C11"/>
    </sheetView>
  </sheetViews>
  <sheetFormatPr defaultColWidth="9.26953125" defaultRowHeight="14.5" x14ac:dyDescent="0.35"/>
  <cols>
    <col min="1" max="1" width="26.54296875" style="47" customWidth="1"/>
    <col min="2" max="2" width="36" style="47" customWidth="1"/>
    <col min="3" max="3" width="26.54296875" style="47" customWidth="1"/>
    <col min="4" max="4" width="53" style="47" customWidth="1"/>
    <col min="5" max="8" width="26.54296875" style="47" customWidth="1"/>
    <col min="9" max="16384" width="9.26953125" style="47"/>
  </cols>
  <sheetData>
    <row r="1" spans="1:8" x14ac:dyDescent="0.35">
      <c r="A1" s="46" t="s">
        <v>88</v>
      </c>
      <c r="B1" s="46"/>
      <c r="C1" s="46"/>
      <c r="D1" s="46"/>
      <c r="E1" s="46"/>
      <c r="F1" s="46"/>
      <c r="G1" s="46"/>
      <c r="H1" s="46"/>
    </row>
    <row r="2" spans="1:8" ht="31.5" customHeight="1" x14ac:dyDescent="0.35">
      <c r="A2" s="213" t="s">
        <v>89</v>
      </c>
      <c r="B2" s="213"/>
      <c r="C2" s="213"/>
      <c r="D2" s="213"/>
      <c r="E2" s="213"/>
      <c r="F2" s="213"/>
      <c r="G2" s="213"/>
      <c r="H2" s="213"/>
    </row>
    <row r="3" spans="1:8" ht="90.4" customHeight="1" x14ac:dyDescent="0.35">
      <c r="A3" s="214" t="s">
        <v>114</v>
      </c>
      <c r="B3" s="215"/>
      <c r="C3" s="215"/>
      <c r="D3" s="215"/>
      <c r="E3" s="215"/>
      <c r="F3" s="215"/>
      <c r="G3" s="215"/>
      <c r="H3" s="216"/>
    </row>
    <row r="4" spans="1:8" ht="76" customHeight="1" x14ac:dyDescent="0.35">
      <c r="A4" s="217" t="s">
        <v>90</v>
      </c>
      <c r="B4" s="218"/>
      <c r="C4" s="218"/>
      <c r="D4" s="218"/>
      <c r="E4" s="218"/>
      <c r="F4" s="218"/>
      <c r="G4" s="218"/>
      <c r="H4" s="219"/>
    </row>
    <row r="5" spans="1:8" x14ac:dyDescent="0.35">
      <c r="A5" s="48"/>
      <c r="B5" s="49"/>
      <c r="C5" s="49"/>
      <c r="D5" s="49"/>
      <c r="E5" s="49"/>
      <c r="F5" s="49"/>
      <c r="G5" s="49"/>
      <c r="H5" s="49"/>
    </row>
    <row r="6" spans="1:8" x14ac:dyDescent="0.35">
      <c r="A6" s="24" t="s">
        <v>91</v>
      </c>
      <c r="B6" s="24"/>
      <c r="C6" s="24"/>
      <c r="D6" s="24"/>
      <c r="E6" s="24"/>
      <c r="F6" s="24"/>
      <c r="G6" s="24"/>
      <c r="H6" s="24"/>
    </row>
    <row r="7" spans="1:8" ht="15" thickBot="1" x14ac:dyDescent="0.4"/>
    <row r="8" spans="1:8" ht="26.5" thickBot="1" x14ac:dyDescent="0.4">
      <c r="A8" s="10" t="s">
        <v>92</v>
      </c>
      <c r="B8" s="11" t="s">
        <v>66</v>
      </c>
      <c r="C8" s="11" t="s">
        <v>4</v>
      </c>
      <c r="D8" s="11" t="s">
        <v>5</v>
      </c>
      <c r="E8" s="11" t="s">
        <v>93</v>
      </c>
      <c r="F8" s="11" t="s">
        <v>94</v>
      </c>
      <c r="G8" s="32" t="s">
        <v>95</v>
      </c>
      <c r="H8" s="32" t="s">
        <v>96</v>
      </c>
    </row>
    <row r="9" spans="1:8" ht="38" thickBot="1" x14ac:dyDescent="0.4">
      <c r="A9" s="12" t="s">
        <v>816</v>
      </c>
      <c r="B9" s="171">
        <v>2027</v>
      </c>
      <c r="C9" s="50" t="s">
        <v>818</v>
      </c>
      <c r="D9" s="12" t="s">
        <v>817</v>
      </c>
      <c r="E9" s="43"/>
      <c r="F9" s="43"/>
      <c r="G9" s="28"/>
      <c r="H9" s="28"/>
    </row>
    <row r="10" spans="1:8" ht="63" thickBot="1" x14ac:dyDescent="0.4">
      <c r="A10" s="12" t="s">
        <v>890</v>
      </c>
      <c r="B10" s="175">
        <v>4000</v>
      </c>
      <c r="C10" s="50" t="s">
        <v>341</v>
      </c>
      <c r="D10" s="12" t="s">
        <v>892</v>
      </c>
      <c r="E10" s="43"/>
      <c r="F10" s="43"/>
      <c r="G10" s="28"/>
      <c r="H10" s="28"/>
    </row>
    <row r="11" spans="1:8" ht="63" thickBot="1" x14ac:dyDescent="0.4">
      <c r="A11" s="12" t="s">
        <v>891</v>
      </c>
      <c r="B11" s="175">
        <v>8000</v>
      </c>
      <c r="C11" s="50" t="s">
        <v>341</v>
      </c>
      <c r="D11" s="12" t="s">
        <v>819</v>
      </c>
      <c r="E11" s="43"/>
      <c r="F11" s="43"/>
      <c r="G11" s="28"/>
      <c r="H11" s="28"/>
    </row>
    <row r="12" spans="1:8" ht="153.75" customHeight="1" thickBot="1" x14ac:dyDescent="0.4">
      <c r="A12" s="12" t="s">
        <v>820</v>
      </c>
      <c r="B12" s="174">
        <f>80*3.6+6*'Project emissions BATT'!G$22/1000*'Project emissions BATT'!G$47*3.6</f>
        <v>462.18240000000003</v>
      </c>
      <c r="C12" s="50" t="s">
        <v>76</v>
      </c>
      <c r="D12" s="211" t="s">
        <v>823</v>
      </c>
      <c r="E12" s="211" t="s">
        <v>824</v>
      </c>
      <c r="F12" s="43"/>
      <c r="G12" s="28"/>
      <c r="H12" s="28"/>
    </row>
    <row r="13" spans="1:8" ht="25.5" thickBot="1" x14ac:dyDescent="0.4">
      <c r="A13" s="12" t="s">
        <v>821</v>
      </c>
      <c r="B13" s="174">
        <f>136*3.6+6*'Project emissions BATT'!$H$22/1000*'Project emissions BATT'!$H$47*3.6</f>
        <v>837.96479999999997</v>
      </c>
      <c r="C13" s="50" t="s">
        <v>76</v>
      </c>
      <c r="D13" s="220"/>
      <c r="E13" s="220"/>
      <c r="F13" s="43"/>
      <c r="G13" s="28"/>
      <c r="H13" s="28"/>
    </row>
    <row r="14" spans="1:8" ht="38" thickBot="1" x14ac:dyDescent="0.4">
      <c r="A14" s="12" t="s">
        <v>822</v>
      </c>
      <c r="B14" s="171">
        <f>120*3.6</f>
        <v>432</v>
      </c>
      <c r="C14" s="50" t="s">
        <v>76</v>
      </c>
      <c r="D14" s="50" t="s">
        <v>809</v>
      </c>
      <c r="E14" s="212"/>
      <c r="F14" s="43"/>
      <c r="G14" s="28"/>
      <c r="H14" s="28"/>
    </row>
    <row r="15" spans="1:8" ht="25.5" thickBot="1" x14ac:dyDescent="0.4">
      <c r="A15" s="12" t="s">
        <v>856</v>
      </c>
      <c r="B15" s="174">
        <f>'Conversion factors BATT'!$B$55*'Project emissions BATT'!$G$22+'Project emissions BATT'!$G$22*'Project emissions BATT'!$G$47*0.044*(12+16*2)/(2*6.941)*1.05</f>
        <v>2180.8456418383516</v>
      </c>
      <c r="C15" s="50" t="s">
        <v>31</v>
      </c>
      <c r="D15" s="211" t="s">
        <v>858</v>
      </c>
      <c r="E15" s="211" t="s">
        <v>825</v>
      </c>
      <c r="F15" s="43"/>
      <c r="G15" s="28"/>
      <c r="H15" s="28"/>
    </row>
    <row r="16" spans="1:8" ht="80.25" customHeight="1" thickBot="1" x14ac:dyDescent="0.4">
      <c r="A16" s="12" t="s">
        <v>857</v>
      </c>
      <c r="B16" s="174">
        <f>'Conversion factors BATT'!$B$55*'Project emissions BATT'!$H$22+'Project emissions BATT'!$H$22*'Project emissions BATT'!$H$47*0.044*(12+16*2)/(2*6.941)*1.05</f>
        <v>4361.6912836767033</v>
      </c>
      <c r="C16" s="50" t="s">
        <v>31</v>
      </c>
      <c r="D16" s="212"/>
      <c r="E16" s="212"/>
      <c r="F16" s="43"/>
      <c r="G16" s="28"/>
      <c r="H16" s="28"/>
    </row>
    <row r="17" spans="1:8" ht="38" thickBot="1" x14ac:dyDescent="0.4">
      <c r="A17" s="12" t="s">
        <v>879</v>
      </c>
      <c r="B17" s="171">
        <v>1920</v>
      </c>
      <c r="C17" s="50" t="s">
        <v>886</v>
      </c>
      <c r="D17" s="208" t="s">
        <v>826</v>
      </c>
      <c r="E17" s="208" t="s">
        <v>878</v>
      </c>
      <c r="F17" s="43"/>
      <c r="G17" s="28"/>
      <c r="H17" s="28"/>
    </row>
    <row r="18" spans="1:8" ht="25.5" thickBot="1" x14ac:dyDescent="0.4">
      <c r="A18" s="12" t="s">
        <v>880</v>
      </c>
      <c r="B18" s="171">
        <v>2016</v>
      </c>
      <c r="C18" s="50" t="s">
        <v>886</v>
      </c>
      <c r="D18" s="209"/>
      <c r="E18" s="209"/>
      <c r="F18" s="43"/>
      <c r="G18" s="28"/>
      <c r="H18" s="28"/>
    </row>
    <row r="19" spans="1:8" ht="25.5" thickBot="1" x14ac:dyDescent="0.4">
      <c r="A19" s="12" t="s">
        <v>881</v>
      </c>
      <c r="B19" s="171">
        <v>1011.9</v>
      </c>
      <c r="C19" s="50" t="s">
        <v>886</v>
      </c>
      <c r="D19" s="209"/>
      <c r="E19" s="209"/>
      <c r="F19" s="43"/>
      <c r="G19" s="28"/>
      <c r="H19" s="28"/>
    </row>
    <row r="20" spans="1:8" ht="25.5" thickBot="1" x14ac:dyDescent="0.4">
      <c r="A20" s="12" t="s">
        <v>882</v>
      </c>
      <c r="B20" s="171">
        <v>807.5</v>
      </c>
      <c r="C20" s="50" t="s">
        <v>886</v>
      </c>
      <c r="D20" s="209"/>
      <c r="E20" s="209"/>
      <c r="F20" s="43"/>
      <c r="G20" s="28"/>
      <c r="H20" s="28"/>
    </row>
    <row r="21" spans="1:8" ht="25.5" thickBot="1" x14ac:dyDescent="0.4">
      <c r="A21" s="12" t="s">
        <v>883</v>
      </c>
      <c r="B21" s="171">
        <v>184.1</v>
      </c>
      <c r="C21" s="50" t="s">
        <v>886</v>
      </c>
      <c r="D21" s="209"/>
      <c r="E21" s="209"/>
      <c r="F21" s="43"/>
      <c r="G21" s="28"/>
      <c r="H21" s="28"/>
    </row>
    <row r="22" spans="1:8" ht="25.5" thickBot="1" x14ac:dyDescent="0.4">
      <c r="A22" s="12" t="s">
        <v>884</v>
      </c>
      <c r="B22" s="171">
        <v>169.4</v>
      </c>
      <c r="C22" s="50" t="s">
        <v>886</v>
      </c>
      <c r="D22" s="209"/>
      <c r="E22" s="209"/>
      <c r="F22" s="43"/>
      <c r="G22" s="28"/>
      <c r="H22" s="28"/>
    </row>
    <row r="23" spans="1:8" ht="126.75" customHeight="1" thickBot="1" x14ac:dyDescent="0.4">
      <c r="A23" s="12" t="s">
        <v>885</v>
      </c>
      <c r="B23" s="171">
        <v>481.3</v>
      </c>
      <c r="C23" s="50" t="s">
        <v>886</v>
      </c>
      <c r="D23" s="210"/>
      <c r="E23" s="210"/>
      <c r="F23" s="43"/>
      <c r="G23" s="28"/>
      <c r="H23" s="28"/>
    </row>
    <row r="24" spans="1:8" ht="111" customHeight="1" thickBot="1" x14ac:dyDescent="0.4">
      <c r="A24" s="12" t="s">
        <v>889</v>
      </c>
      <c r="B24" s="171">
        <v>3.5</v>
      </c>
      <c r="C24" s="50" t="s">
        <v>761</v>
      </c>
      <c r="D24" s="12" t="s">
        <v>851</v>
      </c>
      <c r="E24" s="12" t="s">
        <v>887</v>
      </c>
      <c r="F24" s="43"/>
      <c r="G24" s="28"/>
      <c r="H24" s="28"/>
    </row>
    <row r="25" spans="1:8" ht="88.5" thickBot="1" x14ac:dyDescent="0.4">
      <c r="A25" s="12" t="s">
        <v>877</v>
      </c>
      <c r="B25" s="173">
        <f>'Project emissions BATT'!$G$47*0.044+('Project emissions BATT'!$G$49*0.118*0.046)</f>
        <v>9.3087109999999987E-2</v>
      </c>
      <c r="C25" s="50" t="s">
        <v>206</v>
      </c>
      <c r="D25" s="12" t="s">
        <v>876</v>
      </c>
      <c r="E25" s="208" t="s">
        <v>888</v>
      </c>
      <c r="F25" s="43"/>
      <c r="G25" s="28"/>
      <c r="H25" s="28"/>
    </row>
    <row r="26" spans="1:8" ht="76" thickBot="1" x14ac:dyDescent="0.4">
      <c r="A26" s="12" t="s">
        <v>873</v>
      </c>
      <c r="B26" s="173">
        <f>'Project emissions BATT'!$G$49*0.118*0.75</f>
        <v>7.1463749999999993E-2</v>
      </c>
      <c r="C26" s="50" t="s">
        <v>206</v>
      </c>
      <c r="D26" s="12" t="s">
        <v>874</v>
      </c>
      <c r="E26" s="209"/>
      <c r="F26" s="43"/>
      <c r="G26" s="28"/>
      <c r="H26" s="28"/>
    </row>
    <row r="27" spans="1:8" ht="88.5" thickBot="1" x14ac:dyDescent="0.4">
      <c r="A27" s="12" t="s">
        <v>872</v>
      </c>
      <c r="B27" s="173">
        <f>1/1000*('Project emissions BATT'!$G$51*1000+723.51+5.1)</f>
        <v>0.89800999999999997</v>
      </c>
      <c r="C27" s="50" t="s">
        <v>206</v>
      </c>
      <c r="D27" s="12" t="s">
        <v>875</v>
      </c>
      <c r="E27" s="209"/>
      <c r="F27" s="43"/>
      <c r="G27" s="28"/>
      <c r="H27" s="28"/>
    </row>
    <row r="28" spans="1:8" ht="88.5" thickBot="1" x14ac:dyDescent="0.4">
      <c r="A28" s="12" t="s">
        <v>871</v>
      </c>
      <c r="B28" s="173">
        <f>'Project emissions BATT'!$G$49*0.118*0.204+'Project emissions BATT'!$G$47*0.196</f>
        <v>0.41457414000000004</v>
      </c>
      <c r="C28" s="50" t="s">
        <v>206</v>
      </c>
      <c r="D28" s="12" t="s">
        <v>870</v>
      </c>
      <c r="E28" s="209"/>
      <c r="F28" s="43"/>
      <c r="G28" s="28"/>
      <c r="H28" s="28"/>
    </row>
    <row r="29" spans="1:8" ht="76" thickBot="1" x14ac:dyDescent="0.4">
      <c r="A29" s="12" t="s">
        <v>868</v>
      </c>
      <c r="B29" s="173">
        <f>'Project emissions BATT'!$G$47*0.354</f>
        <v>0.71366399999999997</v>
      </c>
      <c r="C29" s="50" t="s">
        <v>206</v>
      </c>
      <c r="D29" s="12" t="s">
        <v>869</v>
      </c>
      <c r="E29" s="209"/>
      <c r="F29" s="43"/>
      <c r="G29" s="28"/>
      <c r="H29" s="28"/>
    </row>
    <row r="30" spans="1:8" ht="89" thickBot="1" x14ac:dyDescent="0.4">
      <c r="A30" s="12" t="s">
        <v>866</v>
      </c>
      <c r="B30" s="173">
        <f>1/1000*('Project emissions BATT'!$G$52*1000+16.83)</f>
        <v>0.49813000000000002</v>
      </c>
      <c r="C30" s="50" t="s">
        <v>206</v>
      </c>
      <c r="D30" s="12" t="s">
        <v>865</v>
      </c>
      <c r="E30" s="209"/>
      <c r="F30" s="43"/>
      <c r="G30" s="28"/>
      <c r="H30" s="28"/>
    </row>
    <row r="31" spans="1:8" ht="88.5" thickBot="1" x14ac:dyDescent="0.4">
      <c r="A31" s="12" t="s">
        <v>867</v>
      </c>
      <c r="B31" s="173">
        <f>1/1000*('Project emissions BATT'!$G$48*1000+64.34+83.33)</f>
        <v>1.15957</v>
      </c>
      <c r="C31" s="50" t="s">
        <v>206</v>
      </c>
      <c r="D31" s="12" t="s">
        <v>864</v>
      </c>
      <c r="E31" s="210"/>
      <c r="F31" s="43"/>
      <c r="G31" s="28"/>
      <c r="H31" s="28"/>
    </row>
    <row r="32" spans="1:8" ht="15" thickBot="1" x14ac:dyDescent="0.4">
      <c r="A32" s="12"/>
      <c r="B32" s="171"/>
      <c r="C32" s="50"/>
      <c r="D32" s="43"/>
      <c r="E32" s="43"/>
      <c r="F32" s="43"/>
      <c r="G32" s="28"/>
      <c r="H32" s="28"/>
    </row>
    <row r="33" spans="1:8" ht="15" thickBot="1" x14ac:dyDescent="0.4">
      <c r="A33" s="12"/>
      <c r="B33" s="171"/>
      <c r="C33" s="50"/>
      <c r="D33" s="43"/>
      <c r="E33" s="43"/>
      <c r="F33" s="43"/>
      <c r="G33" s="28"/>
      <c r="H33" s="28"/>
    </row>
    <row r="34" spans="1:8" x14ac:dyDescent="0.35">
      <c r="A34" s="51" t="s">
        <v>97</v>
      </c>
    </row>
    <row r="36" spans="1:8" x14ac:dyDescent="0.35">
      <c r="A36" s="24" t="s">
        <v>98</v>
      </c>
      <c r="B36" s="24"/>
      <c r="C36" s="24"/>
      <c r="D36" s="24"/>
      <c r="E36" s="24"/>
      <c r="F36" s="24"/>
    </row>
    <row r="37" spans="1:8" ht="15" thickBot="1" x14ac:dyDescent="0.4"/>
    <row r="38" spans="1:8" ht="26.5" thickBot="1" x14ac:dyDescent="0.4">
      <c r="A38" s="10" t="s">
        <v>92</v>
      </c>
      <c r="B38" s="11" t="s">
        <v>5</v>
      </c>
      <c r="C38" s="11" t="s">
        <v>93</v>
      </c>
      <c r="D38" s="11" t="s">
        <v>94</v>
      </c>
      <c r="E38" s="32" t="s">
        <v>95</v>
      </c>
      <c r="F38" s="32" t="s">
        <v>96</v>
      </c>
    </row>
    <row r="39" spans="1:8" ht="15" thickBot="1" x14ac:dyDescent="0.4">
      <c r="A39" s="12"/>
      <c r="B39" s="43"/>
      <c r="C39" s="43"/>
      <c r="D39" s="43"/>
      <c r="E39" s="28"/>
      <c r="F39" s="28"/>
    </row>
    <row r="40" spans="1:8" ht="15" thickBot="1" x14ac:dyDescent="0.4">
      <c r="A40" s="12"/>
      <c r="B40" s="43"/>
      <c r="C40" s="43"/>
      <c r="D40" s="43"/>
      <c r="E40" s="28"/>
      <c r="F40" s="28"/>
    </row>
    <row r="41" spans="1:8" ht="15" thickBot="1" x14ac:dyDescent="0.4">
      <c r="A41" s="12"/>
      <c r="B41" s="43"/>
      <c r="C41" s="43"/>
      <c r="D41" s="43"/>
      <c r="E41" s="28"/>
      <c r="F41" s="28"/>
    </row>
    <row r="42" spans="1:8" ht="15" thickBot="1" x14ac:dyDescent="0.4">
      <c r="A42" s="12"/>
      <c r="B42" s="43"/>
      <c r="C42" s="43"/>
      <c r="D42" s="43"/>
      <c r="E42" s="28"/>
      <c r="F42" s="28"/>
    </row>
    <row r="43" spans="1:8" ht="15" thickBot="1" x14ac:dyDescent="0.4">
      <c r="A43" s="12"/>
      <c r="B43" s="43"/>
      <c r="C43" s="43"/>
      <c r="D43" s="43"/>
      <c r="E43" s="28"/>
      <c r="F43" s="28"/>
    </row>
    <row r="44" spans="1:8" ht="15" thickBot="1" x14ac:dyDescent="0.4">
      <c r="A44" s="12"/>
      <c r="B44" s="43"/>
      <c r="C44" s="43"/>
      <c r="D44" s="43"/>
      <c r="E44" s="28"/>
      <c r="F44" s="28"/>
    </row>
    <row r="45" spans="1:8" x14ac:dyDescent="0.35">
      <c r="A45" s="51" t="s">
        <v>97</v>
      </c>
    </row>
  </sheetData>
  <mergeCells count="10">
    <mergeCell ref="A2:H2"/>
    <mergeCell ref="A3:H3"/>
    <mergeCell ref="A4:H4"/>
    <mergeCell ref="E12:E14"/>
    <mergeCell ref="D12:D13"/>
    <mergeCell ref="D17:D23"/>
    <mergeCell ref="E17:E23"/>
    <mergeCell ref="E25:E31"/>
    <mergeCell ref="E15:E16"/>
    <mergeCell ref="D15:D1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C4"/>
  <sheetViews>
    <sheetView zoomScaleNormal="100" workbookViewId="0">
      <selection activeCell="C7" sqref="C7"/>
    </sheetView>
  </sheetViews>
  <sheetFormatPr defaultColWidth="9.1796875" defaultRowHeight="14.5" x14ac:dyDescent="0.35"/>
  <cols>
    <col min="1" max="1" width="13.81640625" customWidth="1"/>
    <col min="2" max="2" width="30.1796875" customWidth="1"/>
    <col min="3" max="3" width="39.54296875" customWidth="1"/>
  </cols>
  <sheetData>
    <row r="1" spans="1:3" ht="14.15" customHeight="1" x14ac:dyDescent="0.35">
      <c r="A1" s="221" t="s">
        <v>83</v>
      </c>
      <c r="B1" s="221"/>
      <c r="C1" s="221"/>
    </row>
    <row r="2" spans="1:3" x14ac:dyDescent="0.35">
      <c r="A2" s="65" t="s">
        <v>84</v>
      </c>
      <c r="B2" s="65" t="s">
        <v>85</v>
      </c>
      <c r="C2" s="65" t="s">
        <v>86</v>
      </c>
    </row>
    <row r="3" spans="1:3" x14ac:dyDescent="0.35">
      <c r="A3" s="66" t="s">
        <v>804</v>
      </c>
      <c r="B3" s="146" t="s">
        <v>791</v>
      </c>
      <c r="C3" s="90" t="s">
        <v>87</v>
      </c>
    </row>
    <row r="4" spans="1:3" ht="23" x14ac:dyDescent="0.35">
      <c r="A4" s="66" t="s">
        <v>862</v>
      </c>
      <c r="B4" s="146">
        <v>45639</v>
      </c>
      <c r="C4" s="90" t="s">
        <v>863</v>
      </c>
    </row>
  </sheetData>
  <mergeCells count="1">
    <mergeCell ref="A1:C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3693DC8ADCF44D806C190B5B169FD5" ma:contentTypeVersion="14" ma:contentTypeDescription="Create a new document." ma:contentTypeScope="" ma:versionID="5975c708f30886b80fa6dd916ae0e4e6">
  <xsd:schema xmlns:xsd="http://www.w3.org/2001/XMLSchema" xmlns:xs="http://www.w3.org/2001/XMLSchema" xmlns:p="http://schemas.microsoft.com/office/2006/metadata/properties" xmlns:ns2="65e7e06b-2967-45a3-8296-3e0b01d7a66a" xmlns:ns3="19e20e0e-cf6a-4864-bbaf-9990ea00ffa1" targetNamespace="http://schemas.microsoft.com/office/2006/metadata/properties" ma:root="true" ma:fieldsID="c3f3f02bd5d76311400afaf62cab65cf" ns2:_="" ns3:_="">
    <xsd:import namespace="65e7e06b-2967-45a3-8296-3e0b01d7a66a"/>
    <xsd:import namespace="19e20e0e-cf6a-4864-bbaf-9990ea00ffa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e7e06b-2967-45a3-8296-3e0b01d7a6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e20e0e-cf6a-4864-bbaf-9990ea00ffa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9a483d7e-f9d7-47d8-8fcd-fede0d5b0fe4}" ma:internalName="TaxCatchAll" ma:showField="CatchAllData" ma:web="19e20e0e-cf6a-4864-bbaf-9990ea00ff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e20e0e-cf6a-4864-bbaf-9990ea00ffa1" xsi:nil="true"/>
    <lcf76f155ced4ddcb4097134ff3c332f xmlns="65e7e06b-2967-45a3-8296-3e0b01d7a66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5B2B38-6447-49FA-9BAC-31A64B33F9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e7e06b-2967-45a3-8296-3e0b01d7a66a"/>
    <ds:schemaRef ds:uri="19e20e0e-cf6a-4864-bbaf-9990ea00ff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40D003-AFF2-4F36-8E10-9B9E0EB6CA98}">
  <ds:schemaRefs>
    <ds:schemaRef ds:uri="http://purl.org/dc/elements/1.1/"/>
    <ds:schemaRef ds:uri="19e20e0e-cf6a-4864-bbaf-9990ea00ffa1"/>
    <ds:schemaRef ds:uri="65e7e06b-2967-45a3-8296-3e0b01d7a66a"/>
    <ds:schemaRef ds:uri="http://purl.org/dc/terms/"/>
    <ds:schemaRef ds:uri="http://www.w3.org/XML/1998/namespace"/>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5653F7E-9147-460D-BFF2-13FED458B7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Overview (Example)</vt:lpstr>
      <vt:lpstr>Summary</vt:lpstr>
      <vt:lpstr>Summary per year</vt:lpstr>
      <vt:lpstr>Reference emissions BATT</vt:lpstr>
      <vt:lpstr>Project emissions BATT</vt:lpstr>
      <vt:lpstr>Conversion factors BATT</vt:lpstr>
      <vt:lpstr>Assumptions</vt:lpstr>
      <vt:lpstr>History of changes (Examples)</vt:lpstr>
      <vt:lpstr>'History of changes (Examples)'!_Toc406422007</vt:lpstr>
      <vt:lpstr>'History of changes (Examples)'!_Toc406422008</vt:lpstr>
      <vt:lpstr>'History of changes (Examples)'!_Toc406422009</vt:lpstr>
      <vt:lpstr>'History of changes (Examples)'!_Toc406422010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2021-10-20T09:46:17Z</dcterms:created>
  <dcterms:modified xsi:type="dcterms:W3CDTF">2024-12-16T17:14:00Z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 linkTarget="prop_comm">
    <vt:lpwstr>#REF!</vt:lpwstr>
  </property>
  <property fmtid="{D5CDD505-2E9C-101B-9397-08002B2CF9AE}" pid="3" name="resi" linkTarget="prop_resi">
    <vt:lpwstr>#REF!</vt:lpwstr>
  </property>
  <property fmtid="{D5CDD505-2E9C-101B-9397-08002B2CF9AE}" pid="4" name="uti" linkTarget="prop_uti">
    <vt:lpwstr>#REF!</vt:lpwstr>
  </property>
  <property fmtid="{D5CDD505-2E9C-101B-9397-08002B2CF9AE}" pid="5" name="ContentTypeId">
    <vt:lpwstr>0x010100B43693DC8ADCF44D806C190B5B169FD5</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2022-03-30T08:52:45Z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2abd1d5a-7906-4352-aaa3-44833256a462</vt:lpwstr>
  </property>
  <property fmtid="{D5CDD505-2E9C-101B-9397-08002B2CF9AE}" pid="12" name="MSIP_Label_6bd9ddd1-4d20-43f6-abfa-fc3c07406f94_ContentBits">
    <vt:lpwstr>0</vt:lpwstr>
  </property>
  <property fmtid="{D5CDD505-2E9C-101B-9397-08002B2CF9AE}" pid="13" name="MediaServiceImageTags">
    <vt:lpwstr/>
  </property>
</Properties>
</file>